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ropbox\Documents\Bogaard Enterprises BV\Opdrachten\Robot\Configurator\"/>
    </mc:Choice>
  </mc:AlternateContent>
  <xr:revisionPtr revIDLastSave="0" documentId="13_ncr:1_{DC8FDE14-7B1D-4737-84BA-03178E7DB3BF}" xr6:coauthVersionLast="47" xr6:coauthVersionMax="47" xr10:uidLastSave="{00000000-0000-0000-0000-000000000000}"/>
  <workbookProtection workbookAlgorithmName="SHA-512" workbookHashValue="heXrtlADRAiRIwcLpSBOLUlj3wIR0amniSKNx9opS8cfNTlI5xCEseVp1KwBL9FQRB5PbQr8+i8viTk+OIzBSw==" workbookSaltValue="lFdIh5/7fKDiRv8ZwOWY+Q==" workbookSpinCount="100000" lockStructure="1"/>
  <bookViews>
    <workbookView xWindow="-120" yWindow="-120" windowWidth="38640" windowHeight="15720" xr2:uid="{A9B9645E-328B-45F1-809D-30C8A666BF58}"/>
  </bookViews>
  <sheets>
    <sheet name="Configurator" sheetId="1" r:id="rId1"/>
    <sheet name="Bestellijst" sheetId="4" r:id="rId2"/>
    <sheet name="EmailHelper" sheetId="6" state="hidden" r:id="rId3"/>
    <sheet name="Config_Shadow" sheetId="5" state="hidden" r:id="rId4"/>
    <sheet name="BD" sheetId="2" state="hidden" r:id="rId5"/>
    <sheet name="BD_Images" sheetId="3" state="hidden" r:id="rId6"/>
  </sheets>
  <definedNames>
    <definedName name="AmountBedieningspaneel">Configurator!$F$6</definedName>
    <definedName name="AmountKetelcontact">Configurator!$F$10</definedName>
    <definedName name="AmountMaster">Configurator!$F$5</definedName>
    <definedName name="AmountRaamSensor">Configurator!$F$11</definedName>
    <definedName name="AmountRadiatorknop">Configurator!$F$8</definedName>
    <definedName name="AmountThermomotor">Configurator!$F$9</definedName>
    <definedName name="AmountThermostaat">Configurator!$F$7</definedName>
    <definedName name="Artikelen">BD!$D$3:$G$13</definedName>
    <definedName name="EmailBody">EmailHelper!$B$2</definedName>
    <definedName name="hlpShowWired">Configurator!$F$13</definedName>
    <definedName name="hlpShowWireless">Configurator!$F$12</definedName>
    <definedName name="Image1">BD_Images!$B$1</definedName>
    <definedName name="Image10">BD_Images!$B$10</definedName>
    <definedName name="Image11">BD_Images!$B$11</definedName>
    <definedName name="Image2">BD_Images!$B$2</definedName>
    <definedName name="Image3">BD_Images!$B$3</definedName>
    <definedName name="Image4">BD_Images!$B$4</definedName>
    <definedName name="Image5">BD_Images!$B$5</definedName>
    <definedName name="Image6">BD_Images!$B$6</definedName>
    <definedName name="Image7">BD_Images!$B$7</definedName>
    <definedName name="Image8">BD_Images!$B$8</definedName>
    <definedName name="Image9">BD_Images!$B$9</definedName>
    <definedName name="ImageBlank">BD_Images!$B$12</definedName>
    <definedName name="ImageToShow1">INDIRECT(Bestellijst!$B$10)</definedName>
    <definedName name="ImageToShow10">INDIRECT(Bestellijst!$B$19)</definedName>
    <definedName name="ImageToShow11">INDIRECT(Bestellijst!$B$20)</definedName>
    <definedName name="ImageToShow2">INDIRECT(Bestellijst!$B$11)</definedName>
    <definedName name="ImageToShow3">INDIRECT(Bestellijst!$B$12)</definedName>
    <definedName name="ImageToShow4">INDIRECT(Bestellijst!$B$13)</definedName>
    <definedName name="ImageToShow5">INDIRECT(Bestellijst!$B$14)</definedName>
    <definedName name="ImageToShow6">INDIRECT(Bestellijst!$B$15)</definedName>
    <definedName name="ImageToShow7">INDIRECT(Bestellijst!$B$16)</definedName>
    <definedName name="ImageToShow8">INDIRECT(Bestellijst!$B$17)</definedName>
    <definedName name="ImageToShow9">INDIRECT(Bestellijst!$B$18)</definedName>
    <definedName name="inputAmountRaamsensoren">Configurator!$B$40</definedName>
    <definedName name="inputAmountRadiatoren">Configurator!$B$7</definedName>
    <definedName name="inputAmountRuimtesRadiatoren">Configurator!$B$17</definedName>
    <definedName name="inputAmountThermostaten">Configurator!$B$32:$B$36</definedName>
    <definedName name="inputAmountVerdelerGroepen">Configurator!$B$20:$B$23</definedName>
    <definedName name="inputAmountVerdelerRuimtes">Configurator!$B$12:$B$15</definedName>
    <definedName name="inputAmountVerdelers">Configurator!$B$9</definedName>
    <definedName name="inputChoiceBedieningspaneel">Configurator!$B$25</definedName>
    <definedName name="inputChoiceKetelcontact">Configurator!$B$38</definedName>
    <definedName name="inputChoiceMasterKabel">Configurator!$B$27</definedName>
    <definedName name="inputChoiceRaamsensoren">Configurator!$B$39</definedName>
    <definedName name="inputChoiceRegelen">Configurator!$B$5</definedName>
    <definedName name="inputChoiceThermosConnection">Configurator!$B$29</definedName>
    <definedName name="ListQ1">BD!$A$2:$A$4</definedName>
    <definedName name="ListQ2">BD!$B$2:$B$4</definedName>
    <definedName name="_xlnm.Print_Area" localSheetId="1">Bestellijst!$C$1:$F$22</definedName>
    <definedName name="_xlnm.Print_Area" localSheetId="0">Configurator!$A$1:$D$42</definedName>
    <definedName name="QuestionImageToShow1">INDIRECT(Configurator!$F$24)</definedName>
    <definedName name="QuestionImageToShow2">INDIRECT(Configurator!$F$25)</definedName>
    <definedName name="QuestionImageToShow3">INDIRECT(Configurator!$F$26)</definedName>
    <definedName name="QuestionImageToShow4">INDIRECT(Configurator!$F$27)</definedName>
    <definedName name="QuestionImageToShow5">INDIRECT(Configurator!$F$28)</definedName>
    <definedName name="stepLabelThemostaten">Configurator!$A$31</definedName>
    <definedName name="Thermostaten">BD!$D$3:$F$7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0" i="1"/>
  <c r="A39" i="1"/>
  <c r="C40" i="1" l="1"/>
  <c r="A43" i="1"/>
  <c r="F9" i="1"/>
  <c r="A11" i="1"/>
  <c r="A15" i="1" s="1"/>
  <c r="A12" i="1" l="1"/>
  <c r="A13" i="1"/>
  <c r="A14" i="1"/>
  <c r="F8" i="1" l="1"/>
  <c r="F7" i="1"/>
  <c r="F5" i="1" s="1"/>
  <c r="A19" i="1"/>
  <c r="A17" i="1"/>
  <c r="A25" i="1"/>
  <c r="F6" i="1" l="1"/>
  <c r="B2" i="5"/>
  <c r="F13" i="1" l="1"/>
  <c r="F12" i="1"/>
  <c r="F11" i="1"/>
  <c r="F10" i="1"/>
  <c r="F14" i="1" l="1"/>
  <c r="F19" i="1" s="1"/>
  <c r="B3" i="5"/>
  <c r="A29" i="1"/>
  <c r="A27" i="1"/>
  <c r="A31" i="1" l="1"/>
  <c r="C27" i="1"/>
  <c r="A38" i="1"/>
  <c r="A9" i="1"/>
  <c r="A7" i="1"/>
  <c r="C31" i="1" l="1"/>
  <c r="F24" i="1"/>
  <c r="F15" i="1"/>
  <c r="F17" i="1"/>
  <c r="F18" i="1"/>
  <c r="F16" i="1"/>
  <c r="C5" i="1"/>
  <c r="C25" i="1"/>
  <c r="C17" i="1"/>
  <c r="B12" i="5"/>
  <c r="B11" i="5"/>
  <c r="C29" i="1"/>
  <c r="B10" i="5"/>
  <c r="B9" i="5"/>
  <c r="C9" i="1"/>
  <c r="C7" i="1"/>
  <c r="C38" i="1" l="1"/>
  <c r="F26" i="1"/>
  <c r="F21" i="1"/>
  <c r="A34" i="1" s="1"/>
  <c r="C34" i="1" s="1"/>
  <c r="F20" i="1"/>
  <c r="A33" i="1" s="1"/>
  <c r="C33" i="1" s="1"/>
  <c r="F25" i="1"/>
  <c r="F28" i="1"/>
  <c r="F23" i="1"/>
  <c r="A36" i="1" s="1"/>
  <c r="C36" i="1" s="1"/>
  <c r="F27" i="1"/>
  <c r="F22" i="1"/>
  <c r="A35" i="1" s="1"/>
  <c r="C35" i="1" s="1"/>
  <c r="C12" i="1"/>
  <c r="C13" i="1"/>
  <c r="A32" i="1" l="1"/>
  <c r="C32" i="1" s="1"/>
  <c r="A22" i="1"/>
  <c r="C22" i="1" s="1"/>
  <c r="C14" i="1"/>
  <c r="A23" i="1"/>
  <c r="C23" i="1" s="1"/>
  <c r="C15" i="1"/>
  <c r="A21" i="1"/>
  <c r="C21" i="1" s="1"/>
  <c r="A20" i="1"/>
  <c r="C20" i="1" s="1"/>
  <c r="B6" i="5" l="1"/>
  <c r="B4" i="5"/>
  <c r="B7" i="5"/>
  <c r="B8" i="5"/>
  <c r="B5" i="5"/>
  <c r="A10" i="4" l="1" a="1"/>
  <c r="D18" i="4" s="1"/>
  <c r="F20" i="4" l="1"/>
  <c r="E20" i="4"/>
  <c r="B20" i="4"/>
  <c r="D20" i="4"/>
  <c r="B14" i="6" s="1"/>
  <c r="E19" i="4"/>
  <c r="B19" i="4"/>
  <c r="F19" i="4"/>
  <c r="D19" i="4"/>
  <c r="F18" i="4"/>
  <c r="E18" i="4"/>
  <c r="B12" i="6" s="1"/>
  <c r="B18" i="4"/>
  <c r="F16" i="4"/>
  <c r="E17" i="4"/>
  <c r="F17" i="4"/>
  <c r="B17" i="4"/>
  <c r="D17" i="4"/>
  <c r="E16" i="4"/>
  <c r="B16" i="4"/>
  <c r="D16" i="4"/>
  <c r="B15" i="4"/>
  <c r="E15" i="4"/>
  <c r="F15" i="4"/>
  <c r="D15" i="4"/>
  <c r="A10" i="4"/>
  <c r="D10" i="4" s="1"/>
  <c r="D13" i="4"/>
  <c r="E14" i="4"/>
  <c r="E12" i="4"/>
  <c r="D12" i="4"/>
  <c r="F11" i="4"/>
  <c r="E13" i="4"/>
  <c r="B11" i="4"/>
  <c r="B13" i="4"/>
  <c r="B14" i="4"/>
  <c r="F14" i="4"/>
  <c r="D11" i="4"/>
  <c r="B12" i="4"/>
  <c r="F12" i="4"/>
  <c r="D14" i="4"/>
  <c r="E11" i="4"/>
  <c r="F13" i="4"/>
  <c r="B9" i="6" l="1"/>
  <c r="B10" i="6"/>
  <c r="B6" i="6"/>
  <c r="B13" i="6"/>
  <c r="B11" i="6"/>
  <c r="F10" i="4"/>
  <c r="E10" i="4"/>
  <c r="B4" i="6" s="1"/>
  <c r="B10" i="4"/>
  <c r="B8" i="6"/>
  <c r="B5" i="6"/>
  <c r="B7" i="6"/>
  <c r="B2" i="6" l="1"/>
  <c r="D4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<sst xmlns="http://schemas.openxmlformats.org/spreadsheetml/2006/main" count="117" uniqueCount="80">
  <si>
    <t>Q1</t>
  </si>
  <si>
    <t>Vloerverwarming</t>
  </si>
  <si>
    <t>Radiatoren</t>
  </si>
  <si>
    <t>Vloerverwarming en Radiatoren</t>
  </si>
  <si>
    <t>Wat wilt u regelen?</t>
  </si>
  <si>
    <t>Aantal benodigde thermostaten</t>
  </si>
  <si>
    <t>Aantal benodigde radiatorknoppen</t>
  </si>
  <si>
    <t>Aantal benodigde masters</t>
  </si>
  <si>
    <t>Aantal benodigde thermomotoren</t>
  </si>
  <si>
    <t>Q2</t>
  </si>
  <si>
    <t>Bedraad</t>
  </si>
  <si>
    <t>Draadloos</t>
  </si>
  <si>
    <t>Aantal benodigde ketelcontacten</t>
  </si>
  <si>
    <t>DraadloosMini</t>
  </si>
  <si>
    <t>DraadloosLCDWit</t>
  </si>
  <si>
    <t>DraadloosLCDZwart</t>
  </si>
  <si>
    <t>BedraadWit</t>
  </si>
  <si>
    <t>BedraadZwart</t>
  </si>
  <si>
    <t>Key</t>
  </si>
  <si>
    <t>Artikelen</t>
  </si>
  <si>
    <t>Art.nr.</t>
  </si>
  <si>
    <t>Omschrijving</t>
  </si>
  <si>
    <t>Robot Easy Flex HC Thermostaat RF LCD, wit</t>
  </si>
  <si>
    <t>Robot Easy Flex HC Thermostaat RF LCD, zwart</t>
  </si>
  <si>
    <t>Robot Easy Flex HC Thermostaat RF mini, wit</t>
  </si>
  <si>
    <t>Robot Easy Flex HC Thermostaat bedraad LCD, wit</t>
  </si>
  <si>
    <t>Robot Easy Flex HC Thermostaat bedraad LCD, zwart</t>
  </si>
  <si>
    <t>Robot Easy Flex HC 8-kanaals master 230 Volt RF/W</t>
  </si>
  <si>
    <t>Robot Easy Flex HC Bedieningspaneel, wit</t>
  </si>
  <si>
    <t>Robot Easy Flex HC motor gestuurde radiatorknop RF</t>
  </si>
  <si>
    <t>Robot Thermomotor 230V NC</t>
  </si>
  <si>
    <t>Robot Easy Flex HC Ketelcontact RF</t>
  </si>
  <si>
    <t>Master</t>
  </si>
  <si>
    <t>Bedieningspaneel</t>
  </si>
  <si>
    <t>Ketelcontact</t>
  </si>
  <si>
    <t>Radiatorknop</t>
  </si>
  <si>
    <t>Thermomotor</t>
  </si>
  <si>
    <t>Amount</t>
  </si>
  <si>
    <t>Afbeelding</t>
  </si>
  <si>
    <t>Image1</t>
  </si>
  <si>
    <t>Image2</t>
  </si>
  <si>
    <t>Image3</t>
  </si>
  <si>
    <t>Image4</t>
  </si>
  <si>
    <t>Image5</t>
  </si>
  <si>
    <t>Image6</t>
  </si>
  <si>
    <t>Image10</t>
  </si>
  <si>
    <t>Image7</t>
  </si>
  <si>
    <t>Image8</t>
  </si>
  <si>
    <t>Image9</t>
  </si>
  <si>
    <t>ImageBlank</t>
  </si>
  <si>
    <t>Aantal</t>
  </si>
  <si>
    <t>Artikelnr</t>
  </si>
  <si>
    <t>Aantal benodigde bedieningspanelen</t>
  </si>
  <si>
    <t>Image11</t>
  </si>
  <si>
    <t>Raamsensor</t>
  </si>
  <si>
    <t>Aantal benodigde raamsensoren</t>
  </si>
  <si>
    <t>Robot Easy Flex HC Raamsensor RF</t>
  </si>
  <si>
    <t>+31 78 641 16 19
info@robot-vloerverwarming.nl
Kelvinring 56a
2952 BG Alblasserdam</t>
  </si>
  <si>
    <t>Vul de onderstaande vragen in om een productlijst samen te stellen die het beste aansluit bij uw situatie.
Soms kunnen vragen overgeslagen worden, u kunt dan door naar de eerstvolgende vraag.
Heeft u vragen of opmerkingen, of twijfelt u over iets? Neem dan contact met ons op.
Aan de uitkomst van deze configurator kunnen geen rechten worden ontleend.</t>
  </si>
  <si>
    <t>Aan de uitkomst van deze configurator kunnen geen rechten worden ontleend.</t>
  </si>
  <si>
    <t>Bedraad en draadloos</t>
  </si>
  <si>
    <t>Thermostaat: Toon draadloos</t>
  </si>
  <si>
    <t>Thermostaat: Toon bedraad</t>
  </si>
  <si>
    <t>Thermostaat: Keuze optie 1</t>
  </si>
  <si>
    <t>Thermostaat: Keuze optie 2</t>
  </si>
  <si>
    <t>Thermostaat: Keuze optie 3</t>
  </si>
  <si>
    <t>Thermostaat: Keuze optie 4</t>
  </si>
  <si>
    <t>Thermostaat: Keuze optie 5</t>
  </si>
  <si>
    <t>Thermostaat: Naam optie 1</t>
  </si>
  <si>
    <t>Thermostaat: Naam optie 2</t>
  </si>
  <si>
    <t>Thermostaat: Naam optie 3</t>
  </si>
  <si>
    <t>Thermostaat: Naam optie 4</t>
  </si>
  <si>
    <t>Thermostaat: Naam optie 5</t>
  </si>
  <si>
    <t>Thermostaat: Afbeelding optie 1</t>
  </si>
  <si>
    <t>Thermostaat: Afbeelding optie 2</t>
  </si>
  <si>
    <t>Thermostaat: Afbeelding optie 3</t>
  </si>
  <si>
    <t>Thermostaat: Afbeelding optie 4</t>
  </si>
  <si>
    <t>Thermostaat: Afbeelding optie 5</t>
  </si>
  <si>
    <t xml:space="preserve"> Print deze bestellijst of</t>
  </si>
  <si>
    <t>Configurator Easy Flex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</si>
</sst>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4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3181C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vertical="top" wrapText="1"/>
    </xf>
    <xf numFmtId="0" fontId="7" fillId="0" borderId="1" xfId="0" applyFont="1" applyBorder="1"/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wrapText="1"/>
    </xf>
    <xf numFmtId="0" fontId="0" fillId="0" borderId="1" xfId="0" quotePrefix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0" fillId="0" borderId="1" xfId="0" applyBorder="1" applyAlignment="1">
      <alignment vertical="center"/>
    </xf>
    <xf numFmtId="0" fontId="10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2" xfId="1" applyFill="1" applyBorder="1" applyAlignment="1"/>
    <xf numFmtId="0" fontId="4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3">
    <dxf>
      <font>
        <color auto="1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E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705</xdr:colOff>
      <xdr:row>0</xdr:row>
      <xdr:rowOff>49392</xdr:rowOff>
    </xdr:from>
    <xdr:to>
      <xdr:col>4</xdr:col>
      <xdr:colOff>0</xdr:colOff>
      <xdr:row>1</xdr:row>
      <xdr:rowOff>624943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2F36A5-421D-59C7-470D-F45EF0544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927" y="49392"/>
          <a:ext cx="2419351" cy="11336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31</xdr:row>
          <xdr:rowOff>0</xdr:rowOff>
        </xdr:from>
        <xdr:to>
          <xdr:col>2</xdr:col>
          <xdr:colOff>2824076</xdr:colOff>
          <xdr:row>32</xdr:row>
          <xdr:rowOff>18716</xdr:rowOff>
        </xdr:to>
        <xdr:pic>
          <xdr:nvPicPr>
            <xdr:cNvPr id="2" name="QuestionImage1">
              <a:extLst>
                <a:ext uri="{FF2B5EF4-FFF2-40B4-BE49-F238E27FC236}">
                  <a16:creationId xmlns:a16="http://schemas.microsoft.com/office/drawing/2014/main" id="{01288A11-8DB4-4FA4-A1F1-1690EDF3B91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QuestionImageToShow1" spid="_x0000_s174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29525" y="8048625"/>
              <a:ext cx="1328651" cy="97121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1490867</xdr:colOff>
          <xdr:row>32</xdr:row>
          <xdr:rowOff>4233</xdr:rowOff>
        </xdr:from>
        <xdr:to>
          <xdr:col>2</xdr:col>
          <xdr:colOff>2820983</xdr:colOff>
          <xdr:row>33</xdr:row>
          <xdr:rowOff>22949</xdr:rowOff>
        </xdr:to>
        <xdr:pic>
          <xdr:nvPicPr>
            <xdr:cNvPr id="3" name="QuestionImage2">
              <a:extLst>
                <a:ext uri="{FF2B5EF4-FFF2-40B4-BE49-F238E27FC236}">
                  <a16:creationId xmlns:a16="http://schemas.microsoft.com/office/drawing/2014/main" id="{6657CC09-BB2C-4010-B6F6-23E669533B5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QuestionImageToShow2" spid="_x0000_s174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24967" y="9005358"/>
              <a:ext cx="1330116" cy="97121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1497542</xdr:colOff>
          <xdr:row>32</xdr:row>
          <xdr:rowOff>950383</xdr:rowOff>
        </xdr:from>
        <xdr:to>
          <xdr:col>2</xdr:col>
          <xdr:colOff>2821960</xdr:colOff>
          <xdr:row>34</xdr:row>
          <xdr:rowOff>16599</xdr:rowOff>
        </xdr:to>
        <xdr:pic>
          <xdr:nvPicPr>
            <xdr:cNvPr id="5" name="QuestionImage3">
              <a:extLst>
                <a:ext uri="{FF2B5EF4-FFF2-40B4-BE49-F238E27FC236}">
                  <a16:creationId xmlns:a16="http://schemas.microsoft.com/office/drawing/2014/main" id="{6FFD6D7F-E8CD-4492-B4A0-297C61194C1C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QuestionImageToShow3" spid="_x0000_s174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31642" y="9951508"/>
              <a:ext cx="1324418" cy="971216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1497543</xdr:colOff>
          <xdr:row>34</xdr:row>
          <xdr:rowOff>2116</xdr:rowOff>
        </xdr:from>
        <xdr:to>
          <xdr:col>2</xdr:col>
          <xdr:colOff>2826194</xdr:colOff>
          <xdr:row>35</xdr:row>
          <xdr:rowOff>20832</xdr:rowOff>
        </xdr:to>
        <xdr:pic>
          <xdr:nvPicPr>
            <xdr:cNvPr id="6" name="QuestionImage4">
              <a:extLst>
                <a:ext uri="{FF2B5EF4-FFF2-40B4-BE49-F238E27FC236}">
                  <a16:creationId xmlns:a16="http://schemas.microsoft.com/office/drawing/2014/main" id="{17EA3757-91E5-4D49-A772-DB560E86C9F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QuestionImageToShow4" spid="_x0000_s174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31643" y="10908241"/>
              <a:ext cx="1328651" cy="97121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1501776</xdr:colOff>
          <xdr:row>34</xdr:row>
          <xdr:rowOff>948266</xdr:rowOff>
        </xdr:from>
        <xdr:to>
          <xdr:col>2</xdr:col>
          <xdr:colOff>2830427</xdr:colOff>
          <xdr:row>36</xdr:row>
          <xdr:rowOff>14482</xdr:rowOff>
        </xdr:to>
        <xdr:pic>
          <xdr:nvPicPr>
            <xdr:cNvPr id="7" name="QuestionImage5">
              <a:extLst>
                <a:ext uri="{FF2B5EF4-FFF2-40B4-BE49-F238E27FC236}">
                  <a16:creationId xmlns:a16="http://schemas.microsoft.com/office/drawing/2014/main" id="{C4C977BF-AE3C-4204-B000-D072F05F7EC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QuestionImageToShow5" spid="_x0000_s174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35876" y="11854391"/>
              <a:ext cx="1328651" cy="971216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15687</xdr:rowOff>
        </xdr:from>
        <xdr:to>
          <xdr:col>3</xdr:col>
          <xdr:colOff>19874</xdr:colOff>
          <xdr:row>10</xdr:row>
          <xdr:rowOff>31587</xdr:rowOff>
        </xdr:to>
        <xdr:pic>
          <xdr:nvPicPr>
            <xdr:cNvPr id="2" name="QuoteImage1">
              <a:extLst>
                <a:ext uri="{FF2B5EF4-FFF2-40B4-BE49-F238E27FC236}">
                  <a16:creationId xmlns:a16="http://schemas.microsoft.com/office/drawing/2014/main" id="{509E1CB9-6A91-4D69-A6BD-F868594700F6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1" spid="_x0000_s914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85850" y="2482662"/>
              <a:ext cx="1324799" cy="9684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187</xdr:rowOff>
        </xdr:from>
        <xdr:to>
          <xdr:col>3</xdr:col>
          <xdr:colOff>23562</xdr:colOff>
          <xdr:row>11</xdr:row>
          <xdr:rowOff>16062</xdr:rowOff>
        </xdr:to>
        <xdr:pic>
          <xdr:nvPicPr>
            <xdr:cNvPr id="5" name="QuoteImage2">
              <a:extLst>
                <a:ext uri="{FF2B5EF4-FFF2-40B4-BE49-F238E27FC236}">
                  <a16:creationId xmlns:a16="http://schemas.microsoft.com/office/drawing/2014/main" id="{0EE5851C-BEA8-4836-9D6A-D81E629A7C6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2" spid="_x0000_s914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85850" y="3419662"/>
              <a:ext cx="1328487" cy="9683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647</xdr:rowOff>
        </xdr:from>
        <xdr:to>
          <xdr:col>3</xdr:col>
          <xdr:colOff>23562</xdr:colOff>
          <xdr:row>12</xdr:row>
          <xdr:rowOff>16522</xdr:rowOff>
        </xdr:to>
        <xdr:pic>
          <xdr:nvPicPr>
            <xdr:cNvPr id="6" name="QuoteImage3">
              <a:extLst>
                <a:ext uri="{FF2B5EF4-FFF2-40B4-BE49-F238E27FC236}">
                  <a16:creationId xmlns:a16="http://schemas.microsoft.com/office/drawing/2014/main" id="{2FDBFD8F-A58B-47D1-B3FE-1DC27D7AAB66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3" spid="_x0000_s914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85850" y="4372622"/>
              <a:ext cx="1328487" cy="9683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1608</xdr:rowOff>
        </xdr:from>
        <xdr:to>
          <xdr:col>3</xdr:col>
          <xdr:colOff>23562</xdr:colOff>
          <xdr:row>13</xdr:row>
          <xdr:rowOff>14308</xdr:rowOff>
        </xdr:to>
        <xdr:pic>
          <xdr:nvPicPr>
            <xdr:cNvPr id="7" name="QuoteImage4">
              <a:extLst>
                <a:ext uri="{FF2B5EF4-FFF2-40B4-BE49-F238E27FC236}">
                  <a16:creationId xmlns:a16="http://schemas.microsoft.com/office/drawing/2014/main" id="{DFCEAA69-DE26-4E54-B651-BE67CA9147C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4" spid="_x0000_s914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85850" y="5326083"/>
              <a:ext cx="1328487" cy="9652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950474</xdr:rowOff>
        </xdr:from>
        <xdr:to>
          <xdr:col>3</xdr:col>
          <xdr:colOff>23562</xdr:colOff>
          <xdr:row>14</xdr:row>
          <xdr:rowOff>17024</xdr:rowOff>
        </xdr:to>
        <xdr:pic>
          <xdr:nvPicPr>
            <xdr:cNvPr id="8" name="QuoteImage5">
              <a:extLst>
                <a:ext uri="{FF2B5EF4-FFF2-40B4-BE49-F238E27FC236}">
                  <a16:creationId xmlns:a16="http://schemas.microsoft.com/office/drawing/2014/main" id="{9A472D0A-8157-4F17-9738-2E4DE3196E7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5" spid="_x0000_s914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85850" y="6274949"/>
              <a:ext cx="1328487" cy="9715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14</xdr:row>
          <xdr:rowOff>9545</xdr:rowOff>
        </xdr:from>
        <xdr:to>
          <xdr:col>3</xdr:col>
          <xdr:colOff>23562</xdr:colOff>
          <xdr:row>15</xdr:row>
          <xdr:rowOff>22245</xdr:rowOff>
        </xdr:to>
        <xdr:pic>
          <xdr:nvPicPr>
            <xdr:cNvPr id="9" name="QuoteImage6">
              <a:extLst>
                <a:ext uri="{FF2B5EF4-FFF2-40B4-BE49-F238E27FC236}">
                  <a16:creationId xmlns:a16="http://schemas.microsoft.com/office/drawing/2014/main" id="{84CC06E2-CE74-4022-93EE-3FA1C1C259DC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6" spid="_x0000_s91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6477020"/>
              <a:ext cx="1322137" cy="9652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5</xdr:col>
      <xdr:colOff>933450</xdr:colOff>
      <xdr:row>0</xdr:row>
      <xdr:rowOff>0</xdr:rowOff>
    </xdr:from>
    <xdr:to>
      <xdr:col>6</xdr:col>
      <xdr:colOff>1764</xdr:colOff>
      <xdr:row>6</xdr:row>
      <xdr:rowOff>35095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8B9E48-8E54-4DDC-94E4-5D8E09252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2424289" cy="11336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15</xdr:row>
          <xdr:rowOff>3195</xdr:rowOff>
        </xdr:from>
        <xdr:to>
          <xdr:col>3</xdr:col>
          <xdr:colOff>23562</xdr:colOff>
          <xdr:row>16</xdr:row>
          <xdr:rowOff>15895</xdr:rowOff>
        </xdr:to>
        <xdr:pic>
          <xdr:nvPicPr>
            <xdr:cNvPr id="4" name="QuoteImage7">
              <a:extLst>
                <a:ext uri="{FF2B5EF4-FFF2-40B4-BE49-F238E27FC236}">
                  <a16:creationId xmlns:a16="http://schemas.microsoft.com/office/drawing/2014/main" id="{689B3A7C-01E2-4EA7-9947-C22933753C05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7" spid="_x0000_s915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7423170"/>
              <a:ext cx="1322137" cy="9652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6350</xdr:colOff>
          <xdr:row>16</xdr:row>
          <xdr:rowOff>3195</xdr:rowOff>
        </xdr:from>
        <xdr:ext cx="1322137" cy="965200"/>
        <xdr:pic>
          <xdr:nvPicPr>
            <xdr:cNvPr id="24" name="QuoteImage8">
              <a:extLst>
                <a:ext uri="{FF2B5EF4-FFF2-40B4-BE49-F238E27FC236}">
                  <a16:creationId xmlns:a16="http://schemas.microsoft.com/office/drawing/2014/main" id="{6371E291-7626-48C5-95B0-2D3AE281F40F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8" spid="_x0000_s915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8375670"/>
              <a:ext cx="1322137" cy="9652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6350</xdr:colOff>
          <xdr:row>17</xdr:row>
          <xdr:rowOff>3195</xdr:rowOff>
        </xdr:from>
        <xdr:ext cx="1322137" cy="965200"/>
        <xdr:pic>
          <xdr:nvPicPr>
            <xdr:cNvPr id="26" name="QuoteImage9">
              <a:extLst>
                <a:ext uri="{FF2B5EF4-FFF2-40B4-BE49-F238E27FC236}">
                  <a16:creationId xmlns:a16="http://schemas.microsoft.com/office/drawing/2014/main" id="{4518A215-39C2-4BCD-95FA-BD5EE6824C15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9" spid="_x0000_s915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9328170"/>
              <a:ext cx="1322137" cy="9652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6350</xdr:colOff>
          <xdr:row>18</xdr:row>
          <xdr:rowOff>3195</xdr:rowOff>
        </xdr:from>
        <xdr:ext cx="1322137" cy="965200"/>
        <xdr:pic>
          <xdr:nvPicPr>
            <xdr:cNvPr id="28" name="QuoteImage10">
              <a:extLst>
                <a:ext uri="{FF2B5EF4-FFF2-40B4-BE49-F238E27FC236}">
                  <a16:creationId xmlns:a16="http://schemas.microsoft.com/office/drawing/2014/main" id="{6AB8C279-A31C-43CD-8CCA-0B30270BA2E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10" spid="_x0000_s915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9328170"/>
              <a:ext cx="1322137" cy="9652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6350</xdr:colOff>
          <xdr:row>19</xdr:row>
          <xdr:rowOff>3195</xdr:rowOff>
        </xdr:from>
        <xdr:ext cx="1322137" cy="965200"/>
        <xdr:pic>
          <xdr:nvPicPr>
            <xdr:cNvPr id="30" name="QuoteImage11">
              <a:extLst>
                <a:ext uri="{FF2B5EF4-FFF2-40B4-BE49-F238E27FC236}">
                  <a16:creationId xmlns:a16="http://schemas.microsoft.com/office/drawing/2014/main" id="{EA5E1F71-010B-42BE-8B11-15F15BD9CD64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11" spid="_x0000_s915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10280670"/>
              <a:ext cx="1322137" cy="965200"/>
            </a:xfrm>
            <a:prstGeom prst="rect">
              <a:avLst/>
            </a:prstGeom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4097" name="AutoShape 1" descr="Robot Easy Flex HC Bedieningspaneel, wit">
          <a:extLst>
            <a:ext uri="{FF2B5EF4-FFF2-40B4-BE49-F238E27FC236}">
              <a16:creationId xmlns:a16="http://schemas.microsoft.com/office/drawing/2014/main" id="{6D807166-1055-F7C7-9905-19D3847D7F3C}"/>
            </a:ext>
          </a:extLst>
        </xdr:cNvPr>
        <xdr:cNvSpPr>
          <a:spLocks noChangeAspect="1" noChangeArrowheads="1"/>
        </xdr:cNvSpPr>
      </xdr:nvSpPr>
      <xdr:spPr bwMode="auto">
        <a:xfrm>
          <a:off x="7943850" y="155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42546</xdr:colOff>
      <xdr:row>6</xdr:row>
      <xdr:rowOff>10382</xdr:rowOff>
    </xdr:from>
    <xdr:to>
      <xdr:col>1</xdr:col>
      <xdr:colOff>1322119</xdr:colOff>
      <xdr:row>6</xdr:row>
      <xdr:rowOff>874382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516BE65-18D3-0604-2B84-0EFFFF5CC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14067" r="8767" b="12884"/>
        <a:stretch/>
      </xdr:blipFill>
      <xdr:spPr>
        <a:xfrm>
          <a:off x="1618140" y="5725382"/>
          <a:ext cx="1279573" cy="86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21430</xdr:colOff>
      <xdr:row>5</xdr:row>
      <xdr:rowOff>207170</xdr:rowOff>
    </xdr:from>
    <xdr:to>
      <xdr:col>1</xdr:col>
      <xdr:colOff>1353430</xdr:colOff>
      <xdr:row>5</xdr:row>
      <xdr:rowOff>676866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6C1DA72-C14F-16AF-A2E2-765D33AE4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62" t="26568" r="11016" b="33167"/>
        <a:stretch/>
      </xdr:blipFill>
      <xdr:spPr>
        <a:xfrm>
          <a:off x="1597024" y="4969670"/>
          <a:ext cx="1332000" cy="469696"/>
        </a:xfrm>
        <a:prstGeom prst="rect">
          <a:avLst/>
        </a:prstGeom>
      </xdr:spPr>
    </xdr:pic>
    <xdr:clientData/>
  </xdr:twoCellAnchor>
  <xdr:twoCellAnchor editAs="oneCell">
    <xdr:from>
      <xdr:col>1</xdr:col>
      <xdr:colOff>257183</xdr:colOff>
      <xdr:row>2</xdr:row>
      <xdr:rowOff>948532</xdr:rowOff>
    </xdr:from>
    <xdr:to>
      <xdr:col>1</xdr:col>
      <xdr:colOff>1158571</xdr:colOff>
      <xdr:row>3</xdr:row>
      <xdr:rowOff>896032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3DFFF-5978-232D-72E3-D52FDC4E1B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16385" r="24496" b="16963"/>
        <a:stretch/>
      </xdr:blipFill>
      <xdr:spPr>
        <a:xfrm>
          <a:off x="1832777" y="2853532"/>
          <a:ext cx="901388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240506</xdr:colOff>
      <xdr:row>0</xdr:row>
      <xdr:rowOff>15876</xdr:rowOff>
    </xdr:from>
    <xdr:to>
      <xdr:col>1</xdr:col>
      <xdr:colOff>1141428</xdr:colOff>
      <xdr:row>0</xdr:row>
      <xdr:rowOff>915876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1FDC40-A003-495B-B566-8431F1B95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16385" r="24496" b="16963"/>
        <a:stretch/>
      </xdr:blipFill>
      <xdr:spPr>
        <a:xfrm>
          <a:off x="1816100" y="15876"/>
          <a:ext cx="900922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442127</xdr:colOff>
      <xdr:row>9</xdr:row>
      <xdr:rowOff>19844</xdr:rowOff>
    </xdr:from>
    <xdr:to>
      <xdr:col>1</xdr:col>
      <xdr:colOff>975465</xdr:colOff>
      <xdr:row>9</xdr:row>
      <xdr:rowOff>919844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1BAD8E1-5801-62C0-6831-6395AAE34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42" t="7299" r="33579" b="19172"/>
        <a:stretch/>
      </xdr:blipFill>
      <xdr:spPr>
        <a:xfrm>
          <a:off x="2017721" y="8592344"/>
          <a:ext cx="533338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250037</xdr:colOff>
      <xdr:row>2</xdr:row>
      <xdr:rowOff>23900</xdr:rowOff>
    </xdr:from>
    <xdr:to>
      <xdr:col>1</xdr:col>
      <xdr:colOff>1133550</xdr:colOff>
      <xdr:row>2</xdr:row>
      <xdr:rowOff>923900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621C7D2-4B23-4F45-5D74-08B7414ED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23" t="11170" r="15687" b="18917"/>
        <a:stretch/>
      </xdr:blipFill>
      <xdr:spPr>
        <a:xfrm>
          <a:off x="1825631" y="1928900"/>
          <a:ext cx="883513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159383</xdr:colOff>
      <xdr:row>8</xdr:row>
      <xdr:rowOff>29369</xdr:rowOff>
    </xdr:from>
    <xdr:to>
      <xdr:col>1</xdr:col>
      <xdr:colOff>1205371</xdr:colOff>
      <xdr:row>8</xdr:row>
      <xdr:rowOff>929369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58FC53E-8079-4312-6201-AD7DAA47B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04" t="8524" r="8939" b="19737"/>
        <a:stretch/>
      </xdr:blipFill>
      <xdr:spPr>
        <a:xfrm>
          <a:off x="1734977" y="7649369"/>
          <a:ext cx="1045988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252413</xdr:colOff>
      <xdr:row>7</xdr:row>
      <xdr:rowOff>42069</xdr:rowOff>
    </xdr:from>
    <xdr:to>
      <xdr:col>1</xdr:col>
      <xdr:colOff>1149724</xdr:colOff>
      <xdr:row>7</xdr:row>
      <xdr:rowOff>942069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F7266BC-D2A1-4A4A-F1E7-646697636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73" t="19995" r="23559" b="13770"/>
        <a:stretch/>
      </xdr:blipFill>
      <xdr:spPr>
        <a:xfrm>
          <a:off x="1828007" y="6709569"/>
          <a:ext cx="897311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236538</xdr:colOff>
      <xdr:row>1</xdr:row>
      <xdr:rowOff>10318</xdr:rowOff>
    </xdr:from>
    <xdr:to>
      <xdr:col>1</xdr:col>
      <xdr:colOff>1128067</xdr:colOff>
      <xdr:row>1</xdr:row>
      <xdr:rowOff>910318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08FB443-E82B-94F2-CF7F-5A4145D66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9" t="13747" r="25017" b="19741"/>
        <a:stretch/>
      </xdr:blipFill>
      <xdr:spPr>
        <a:xfrm>
          <a:off x="1812132" y="962818"/>
          <a:ext cx="891529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261151</xdr:colOff>
      <xdr:row>4</xdr:row>
      <xdr:rowOff>11906</xdr:rowOff>
    </xdr:from>
    <xdr:to>
      <xdr:col>1</xdr:col>
      <xdr:colOff>1152684</xdr:colOff>
      <xdr:row>4</xdr:row>
      <xdr:rowOff>911906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1811AB9-9640-48B1-A60E-E816043557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9" t="13747" r="25017" b="19741"/>
        <a:stretch/>
      </xdr:blipFill>
      <xdr:spPr>
        <a:xfrm>
          <a:off x="1836745" y="3821906"/>
          <a:ext cx="891533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412751</xdr:colOff>
      <xdr:row>10</xdr:row>
      <xdr:rowOff>19844</xdr:rowOff>
    </xdr:from>
    <xdr:to>
      <xdr:col>1</xdr:col>
      <xdr:colOff>930564</xdr:colOff>
      <xdr:row>10</xdr:row>
      <xdr:rowOff>919844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CBA5B3-04E4-AA44-0806-B75A17847D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61" t="24959" r="31822" b="23956"/>
        <a:stretch/>
      </xdr:blipFill>
      <xdr:spPr>
        <a:xfrm>
          <a:off x="1988345" y="9544844"/>
          <a:ext cx="517813" cy="90000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367B-2C76-452B-9E39-BC2918CEB3B9}">
  <sheetPr codeName="Sheet1">
    <pageSetUpPr fitToPage="1"/>
  </sheetPr>
  <dimension ref="A1:I43"/>
  <sheetViews>
    <sheetView tabSelected="1" zoomScaleNormal="100" workbookViewId="0">
      <selection activeCell="B5" sqref="B5"/>
    </sheetView>
  </sheetViews>
  <sheetFormatPr defaultColWidth="8.7109375" defaultRowHeight="15" x14ac:dyDescent="0.25"/>
  <cols>
    <col min="1" max="1" width="62.85546875" style="2" customWidth="1"/>
    <col min="2" max="2" width="29.140625" style="2" customWidth="1"/>
    <col min="3" max="3" width="56.85546875" style="2" customWidth="1"/>
    <col min="4" max="4" width="34.5703125" style="2" customWidth="1"/>
    <col min="5" max="5" width="31" style="2" hidden="1" customWidth="1"/>
    <col min="6" max="6" width="10.140625" style="2" hidden="1" customWidth="1"/>
    <col min="7" max="7" width="8.5703125" style="2" customWidth="1"/>
    <col min="8" max="16384" width="8.7109375" style="2"/>
  </cols>
  <sheetData>
    <row r="1" spans="1:9" ht="44.45" customHeight="1" x14ac:dyDescent="0.25">
      <c r="A1" s="37" t="s">
        <v>79</v>
      </c>
      <c r="B1" s="37"/>
      <c r="C1" s="37"/>
      <c r="D1" s="1"/>
      <c r="F1" s="3"/>
      <c r="G1" s="3"/>
      <c r="H1" s="3"/>
      <c r="I1" s="3"/>
    </row>
    <row r="2" spans="1:9" ht="55.5" customHeight="1" x14ac:dyDescent="0.25">
      <c r="A2" s="39" t="s">
        <v>58</v>
      </c>
      <c r="B2" s="39"/>
      <c r="C2" s="39"/>
      <c r="D2" s="4"/>
      <c r="E2" s="3"/>
      <c r="F2" s="3"/>
      <c r="G2" s="3"/>
      <c r="H2" s="3"/>
      <c r="I2" s="3"/>
    </row>
    <row r="3" spans="1:9" ht="60" x14ac:dyDescent="0.25">
      <c r="A3" s="39"/>
      <c r="B3" s="39"/>
      <c r="C3" s="39"/>
      <c r="D3" s="5" t="s">
        <v>57</v>
      </c>
    </row>
    <row r="4" spans="1:9" x14ac:dyDescent="0.25">
      <c r="D4" s="5"/>
    </row>
    <row r="5" spans="1:9" x14ac:dyDescent="0.25">
      <c r="A5" s="9" t="s">
        <v>4</v>
      </c>
      <c r="B5" s="25"/>
      <c r="C5" s="28" t="str">
        <f>IF(AND(A5&lt;&gt;"",B5=""),"← Maak hier uw keuze","")</f>
        <v>← Maak hier uw keuze</v>
      </c>
      <c r="E5" s="7" t="s">
        <v>7</v>
      </c>
      <c r="F5" s="8">
        <f>MAX(inputAmountVerdelers,ROUNDUP(AmountThermostaat/8,0))</f>
        <v>0</v>
      </c>
    </row>
    <row r="6" spans="1:9" x14ac:dyDescent="0.25">
      <c r="A6" s="9"/>
      <c r="B6" s="25"/>
      <c r="C6" s="31"/>
      <c r="E6" s="7" t="s">
        <v>52</v>
      </c>
      <c r="F6" s="8" t="str">
        <f>IF(AmountMaster&gt;0,
    IF(inputChoiceBedieningspaneel="Ja",
        IF(AmountMaster=1,
            1,
            IF(inputChoiceMasterKabel="Ja",
                ROUNDUP(AmountMaster/4,0),
                IF(inputChoiceMasterKabel="Nee",
                    AmountMaster,
                    ""
                )
            )
        ),
        IF(inputChoiceBedieningspaneel="Nee",
            0,
            ""
        )
    ),
    ""
)</f>
        <v/>
      </c>
    </row>
    <row r="7" spans="1:9" ht="29.1" customHeight="1" x14ac:dyDescent="0.25">
      <c r="A7" s="9" t="str">
        <f>IF(OR(inputChoiceRegelen="Vloerverwarming en Radiatoren",inputChoiceRegelen="Radiatoren"),"Hoeveel radiatoren heeft u?","")</f>
        <v/>
      </c>
      <c r="B7" s="25"/>
      <c r="C7" s="27" t="str">
        <f>IF(B7&gt;20,"Heeft u meer dan 20 radiatoren?
Neem dan contact met ons op.",IF(B7&gt;6,"Heeft u meer dan 6 radiatoren in 1 ruimte? 
Dan heeft u extra thermostaten nodig.",IF(AND(A7&lt;&gt;"",B7=""),"← Vul hier het aantal in","")))</f>
        <v/>
      </c>
      <c r="D7" s="12"/>
      <c r="E7" s="7" t="s">
        <v>5</v>
      </c>
      <c r="F7" s="8">
        <f>SUM(inputAmountVerdelerRuimtes)+inputAmountRuimtesRadiatoren</f>
        <v>0</v>
      </c>
    </row>
    <row r="8" spans="1:9" x14ac:dyDescent="0.25">
      <c r="A8" s="9"/>
      <c r="B8" s="25"/>
      <c r="C8" s="31"/>
      <c r="E8" s="7" t="s">
        <v>6</v>
      </c>
      <c r="F8" s="8">
        <f>inputAmountRadiatoren</f>
        <v>0</v>
      </c>
    </row>
    <row r="9" spans="1:9" x14ac:dyDescent="0.25">
      <c r="A9" s="9" t="str">
        <f>IF(inputChoiceRegelen="Vloerverwarming",
    "Hoeveel verdelers heeft u?",
    IF(AND(inputChoiceRegelen="Vloerverwarming en Radiatoren",inputAmountRadiatoren&gt;0),
        "Hoeveel verdelers heeft u?",
        ""
    )
)</f>
        <v/>
      </c>
      <c r="B9" s="25"/>
      <c r="C9" s="28" t="str">
        <f>IF(B9&gt;4,"Heeft u meer dan 4 verdelers? Neem dan contact met ons op.",IF(AND(A9&lt;&gt;"",B9=""),"← Vul hier het aantal in",""))</f>
        <v/>
      </c>
      <c r="D9" s="13"/>
      <c r="E9" s="7" t="s">
        <v>8</v>
      </c>
      <c r="F9" s="8">
        <f>SUM(inputAmountVerdelerGroepen)</f>
        <v>0</v>
      </c>
    </row>
    <row r="10" spans="1:9" x14ac:dyDescent="0.25">
      <c r="A10" s="9"/>
      <c r="B10" s="25"/>
      <c r="C10" s="31"/>
      <c r="E10" s="7" t="s">
        <v>12</v>
      </c>
      <c r="F10" s="8">
        <f>IF(inputChoiceKetelcontact="Ja",1,0)</f>
        <v>0</v>
      </c>
    </row>
    <row r="11" spans="1:9" x14ac:dyDescent="0.25">
      <c r="A11" s="9" t="str">
        <f>IF(OR(inputChoiceRegelen="Vloerverwarming",inputChoiceRegelen="Vloerverwarming en Radiatoren"),
    IF(AND(inputAmountVerdelers&gt;0,inputAmountVerdelers&lt;5),
        "Hoeveel ruimtes wilt u bedienen?",
        ""
    ),
    ""
)</f>
        <v/>
      </c>
      <c r="B11" s="25"/>
      <c r="C11" s="31"/>
      <c r="E11" s="7" t="s">
        <v>55</v>
      </c>
      <c r="F11" s="8">
        <f>inputAmountRaamsensoren</f>
        <v>0</v>
      </c>
    </row>
    <row r="12" spans="1:9" x14ac:dyDescent="0.25">
      <c r="A12" s="9" t="str">
        <f>IF(AND($A$11&lt;&gt;"",inputAmountVerdelers&gt;0),"Verdeler 1:","")</f>
        <v/>
      </c>
      <c r="B12" s="25"/>
      <c r="C12" s="28" t="str">
        <f>IF(AND(A12&lt;&gt;"",B12=""),"← Vul hier het aantal in","")</f>
        <v/>
      </c>
      <c r="E12" s="7" t="s">
        <v>61</v>
      </c>
      <c r="F12" s="8">
        <f>IF(OR(inputChoiceThermosConnection="Draadloos",inputChoiceThermosConnection="Bedraad en draadloos"),1,0)</f>
        <v>0</v>
      </c>
    </row>
    <row r="13" spans="1:9" x14ac:dyDescent="0.25">
      <c r="A13" s="9" t="str">
        <f>IF(AND($A$11&lt;&gt;"",inputAmountVerdelers&gt;1),"Verdeler 2:","")</f>
        <v/>
      </c>
      <c r="B13" s="25"/>
      <c r="C13" s="28" t="str">
        <f t="shared" ref="C13:C15" si="0">IF(AND(A13&lt;&gt;"",B13=""),"← Vul hier het aantal in","")</f>
        <v/>
      </c>
      <c r="E13" s="7" t="s">
        <v>62</v>
      </c>
      <c r="F13" s="8">
        <f>IF(OR(inputChoiceThermosConnection="Bedraad",inputChoiceThermosConnection="Bedraad en draadloos"),1,0)</f>
        <v>0</v>
      </c>
    </row>
    <row r="14" spans="1:9" x14ac:dyDescent="0.25">
      <c r="A14" s="9" t="str">
        <f>IF(AND($A$11&lt;&gt;"",inputAmountVerdelers&gt;2),"Verdeler 3:","")</f>
        <v/>
      </c>
      <c r="B14" s="25"/>
      <c r="C14" s="28" t="str">
        <f t="shared" si="0"/>
        <v/>
      </c>
      <c r="E14" s="7" t="s">
        <v>63</v>
      </c>
      <c r="F14" s="8" t="str">
        <f>IF(hlpShowWireless=1,"DraadloosLCDWit",IF(hlpShowWired=1,"BedraadWit",""))</f>
        <v/>
      </c>
    </row>
    <row r="15" spans="1:9" x14ac:dyDescent="0.25">
      <c r="A15" s="9" t="str">
        <f>IF(AND($A$11&lt;&gt;"",inputAmountVerdelers&gt;3),"Verdeler 4:","")</f>
        <v/>
      </c>
      <c r="B15" s="25"/>
      <c r="C15" s="28" t="str">
        <f t="shared" si="0"/>
        <v/>
      </c>
      <c r="E15" s="7" t="s">
        <v>64</v>
      </c>
      <c r="F15" s="8" t="str">
        <f>IF(hlpShowWireless=1,"DraadloosLCDZwart",IF(hlpShowWired=1,"BedraadZwart",""))</f>
        <v/>
      </c>
    </row>
    <row r="16" spans="1:9" x14ac:dyDescent="0.25">
      <c r="A16" s="9"/>
      <c r="B16" s="25"/>
      <c r="C16" s="31"/>
      <c r="E16" s="7" t="s">
        <v>65</v>
      </c>
      <c r="F16" s="8" t="str">
        <f>IF(hlpShowWireless=1,"DraadloosMini","")</f>
        <v/>
      </c>
    </row>
    <row r="17" spans="1:6" ht="35.450000000000003" customHeight="1" x14ac:dyDescent="0.25">
      <c r="A17" s="29" t="str">
        <f>IF(inputChoiceRegelen="Vloerverwarming en Radiatoren",
    IF(AND(inputAmountVerdelers&gt;0,COUNT(inputAmountVerdelerRuimtes)=inputAmountVerdelers),
        "In hoeveel verschillende ruimtes bevinden zich enkel radiatoren 
(en geen vloerverwarming)?",
        ""
    ),
    IF(inputChoiceRegelen="Radiatoren",
        IF(inputAmountRadiatoren&gt;0,
            "In hoeveel verschillende ruimtes bevinden de radiatoren?",
            ""
        ),
        ""
    )
)</f>
        <v/>
      </c>
      <c r="B17" s="25"/>
      <c r="C17" s="28" t="str">
        <f>IF(AND(A17&lt;&gt;"",B17=""),"← Vul hier het aantal in","")</f>
        <v/>
      </c>
      <c r="E17" s="7" t="s">
        <v>66</v>
      </c>
      <c r="F17" s="8" t="str">
        <f>IF(hlpShowWireless=1,IF(hlpShowWired=1,"BedraadWit",""),"")</f>
        <v/>
      </c>
    </row>
    <row r="18" spans="1:6" x14ac:dyDescent="0.25">
      <c r="A18" s="6"/>
      <c r="B18" s="24"/>
      <c r="C18" s="31"/>
      <c r="E18" s="7" t="s">
        <v>67</v>
      </c>
      <c r="F18" s="8" t="str">
        <f>IF(hlpShowWireless=1,IF(hlpShowWired=1,"BedraadZwart",""),"")</f>
        <v/>
      </c>
    </row>
    <row r="19" spans="1:6" x14ac:dyDescent="0.25">
      <c r="A19" s="6" t="str">
        <f>IF(inputChoiceRegelen="Vloerverwarming en Radiatoren",
    IF(inputAmountRuimtesRadiatoren&lt;&gt;"",
        "Hoeveel groepen wilt u bedienen?",
        ""
    ),
    IF(inputChoiceRegelen="Vloerverwarming",
        IF(AND(inputAmountVerdelers&gt;0,COUNT(inputAmountVerdelerRuimtes)=inputAmountVerdelers),
            "Hoeveel groepen wilt u bedienen?",
            ""
        ),
        ""
    )
)</f>
        <v/>
      </c>
      <c r="B19" s="24"/>
      <c r="C19" s="31"/>
      <c r="E19" s="7" t="s">
        <v>68</v>
      </c>
      <c r="F19" s="8" t="str">
        <f>IFERROR(VLOOKUP(F14,Thermostaten,3,FALSE),"")</f>
        <v/>
      </c>
    </row>
    <row r="20" spans="1:6" x14ac:dyDescent="0.25">
      <c r="A20" s="6" t="str">
        <f>IF(AND($A$19&lt;&gt;"",A12&lt;&gt;""),A12,"")</f>
        <v/>
      </c>
      <c r="B20" s="24"/>
      <c r="C20" s="28" t="str">
        <f>IF(AND(A20&lt;&gt;"",B20=""),"← Vul hier het aantal in","")</f>
        <v/>
      </c>
      <c r="E20" s="7" t="s">
        <v>69</v>
      </c>
      <c r="F20" s="8" t="str">
        <f>IFERROR(VLOOKUP(F15,Thermostaten,3,FALSE),"")</f>
        <v/>
      </c>
    </row>
    <row r="21" spans="1:6" x14ac:dyDescent="0.25">
      <c r="A21" s="6" t="str">
        <f>IF(AND($A$19&lt;&gt;"",A13&lt;&gt;""),A13,"")</f>
        <v/>
      </c>
      <c r="B21" s="24"/>
      <c r="C21" s="28" t="str">
        <f t="shared" ref="C21:C23" si="1">IF(AND(A21&lt;&gt;"",B21=""),"← Vul hier het aantal in","")</f>
        <v/>
      </c>
      <c r="E21" s="7" t="s">
        <v>70</v>
      </c>
      <c r="F21" s="8" t="str">
        <f>IFERROR(VLOOKUP(F16,Thermostaten,3,FALSE),"")</f>
        <v/>
      </c>
    </row>
    <row r="22" spans="1:6" x14ac:dyDescent="0.25">
      <c r="A22" s="6" t="str">
        <f>IF(AND($A$19&lt;&gt;"",A14&lt;&gt;""),A14,"")</f>
        <v/>
      </c>
      <c r="B22" s="24"/>
      <c r="C22" s="13" t="str">
        <f t="shared" si="1"/>
        <v/>
      </c>
      <c r="E22" s="7" t="s">
        <v>71</v>
      </c>
      <c r="F22" s="8" t="str">
        <f>IFERROR(VLOOKUP(F17,Thermostaten,3,FALSE),"")</f>
        <v/>
      </c>
    </row>
    <row r="23" spans="1:6" x14ac:dyDescent="0.25">
      <c r="A23" s="6" t="str">
        <f>IF(AND($A$19&lt;&gt;"",A15&lt;&gt;""),A15,"")</f>
        <v/>
      </c>
      <c r="B23" s="24"/>
      <c r="C23" s="13" t="str">
        <f t="shared" si="1"/>
        <v/>
      </c>
      <c r="E23" s="7" t="s">
        <v>72</v>
      </c>
      <c r="F23" s="8" t="str">
        <f>IFERROR(VLOOKUP(F18,Thermostaten,3,FALSE),"")</f>
        <v/>
      </c>
    </row>
    <row r="24" spans="1:6" x14ac:dyDescent="0.25">
      <c r="A24" s="6"/>
      <c r="B24" s="24"/>
      <c r="E24" s="7" t="s">
        <v>73</v>
      </c>
      <c r="F24" s="8" t="str">
        <f>IFERROR(VLOOKUP(F14,Artikelen,4,FALSE),"ImageBlank")</f>
        <v>ImageBlank</v>
      </c>
    </row>
    <row r="25" spans="1:6" ht="35.450000000000003" customHeight="1" x14ac:dyDescent="0.25">
      <c r="A25" s="10" t="str">
        <f>IF(inputChoiceRegelen="Radiatoren",
    IF(AND(inputAmountRadiatoren&gt;0,inputAmountRuimtesRadiatoren&lt;&gt;""),
        "Wilt u een bedieningspaneel? (Noodzakelijk voor app bediening)",
        ""
    ),
    IF(inputAmountVerdelers&gt;0,
        IF(inputAmountVerdelers&lt;5,
            IF(COUNT(inputAmountVerdelerGroepen)=inputAmountVerdelers,
                "Wilt u een bedieningspaneel? (Noodzakelijk voor app bediening en/of communicatie van meerdere masters onderling master/slave)",
                ""
            ),
            ""
        ),
        ""
    )
)</f>
        <v/>
      </c>
      <c r="B25" s="25"/>
      <c r="C25" s="28" t="str">
        <f>IF(AND(A25&lt;&gt;"",B25=""),"← Maak hier uw keuze","")</f>
        <v/>
      </c>
      <c r="D25" s="14"/>
      <c r="E25" s="7" t="s">
        <v>74</v>
      </c>
      <c r="F25" s="8" t="str">
        <f>IFERROR(VLOOKUP(F15,Artikelen,4,FALSE),"ImageBlank")</f>
        <v>ImageBlank</v>
      </c>
    </row>
    <row r="26" spans="1:6" ht="15" customHeight="1" x14ac:dyDescent="0.25">
      <c r="A26" s="10"/>
      <c r="B26" s="25"/>
      <c r="C26" s="28"/>
      <c r="D26" s="14"/>
      <c r="E26" s="7" t="s">
        <v>75</v>
      </c>
      <c r="F26" s="8" t="str">
        <f>IFERROR(VLOOKUP(F16,Artikelen,4,FALSE),"ImageBlank")</f>
        <v>ImageBlank</v>
      </c>
    </row>
    <row r="27" spans="1:6" ht="15" customHeight="1" x14ac:dyDescent="0.25">
      <c r="A27" s="10" t="str">
        <f>IF(AND(inputChoiceBedieningspaneel="Ja",AmountMaster&gt;1),
    "Zijn de de masters onderling te koppelen d.m.v. een 4 aderige kabel?",
    ""
)</f>
        <v/>
      </c>
      <c r="B27" s="25"/>
      <c r="C27" s="28" t="str">
        <f>IF(AND(A27&lt;&gt;"",B27=""),"← Maak hier uw keuze","")</f>
        <v/>
      </c>
      <c r="D27" s="14"/>
      <c r="E27" s="7" t="s">
        <v>76</v>
      </c>
      <c r="F27" s="8" t="str">
        <f>IFERROR(VLOOKUP(F17,Artikelen,4,FALSE),"ImageBlank")</f>
        <v>ImageBlank</v>
      </c>
    </row>
    <row r="28" spans="1:6" x14ac:dyDescent="0.25">
      <c r="A28" s="9"/>
      <c r="B28" s="25"/>
      <c r="C28" s="31"/>
      <c r="E28" s="7" t="s">
        <v>77</v>
      </c>
      <c r="F28" s="8" t="str">
        <f>IFERROR(VLOOKUP(F18,Artikelen,4,FALSE),"ImageBlank")</f>
        <v>ImageBlank</v>
      </c>
    </row>
    <row r="29" spans="1:6" x14ac:dyDescent="0.25">
      <c r="A29" s="6" t="str">
        <f>IF(inputChoiceBedieningspaneel&lt;&gt;"",
    IF(inputChoiceBedieningspaneel="Nee",
        "Hoe wilt u de thermostaat aansluiten?",
        IF(AmountMaster&gt;1,
            IF(inputChoiceMasterKabel&lt;&gt;"",
                "Hoe wilt u de thermostaat aansluiten?",
                ""
            ),
            "Hoe wilt u de thermostaat aansluiten?"
        )
    ),
    ""
)</f>
        <v/>
      </c>
      <c r="B29" s="24"/>
      <c r="C29" s="13" t="str">
        <f>IF(AND(A29&lt;&gt;"",B29=""),"← Maak hier uw keuze","")</f>
        <v/>
      </c>
    </row>
    <row r="30" spans="1:6" x14ac:dyDescent="0.25">
      <c r="A30" s="6"/>
      <c r="B30" s="24"/>
      <c r="C30" s="13"/>
    </row>
    <row r="31" spans="1:6" x14ac:dyDescent="0.25">
      <c r="A31" s="9" t="str">
        <f>IF(inputChoiceThermosConnection&lt;&gt;"","Keuze themostaten:","")</f>
        <v/>
      </c>
      <c r="B31" s="25"/>
      <c r="C31" s="32" t="str">
        <f>IF(AND(stepLabelThemostaten&lt;&gt;"",SUM(inputAmountThermostaten)&lt;&gt;AmountThermostaat),
    IF(SUM(inputAmountThermostaten)&gt;AmountThermostaat,
        "U heeft "&amp;(SUM(inputAmountThermostaten)-AmountThermostaat)&amp;" thermostaten te veel gekozen.",
        "Nog "&amp;(AmountThermostaat-SUM(inputAmountThermostaten))&amp;" thermostaten te kiezen"
    ),
    IF(inputChoiceThermosConnection="Bedraad en draadloos",
        IF(SUM($B$32:$B$34)=0,
            "Let op: u heeft alleen bedrade thermostaten gekozen",
            IF(SUM($B$35:$B$36)=0,
                "Let op: u heeft alleen draadloze thermostaten gekozen",
                ""
            )
        ),
        ""
    )
)</f>
        <v/>
      </c>
    </row>
    <row r="32" spans="1:6" ht="75" customHeight="1" x14ac:dyDescent="0.25">
      <c r="A32" s="9" t="str">
        <f>IF($A$31&lt;&gt;"",F19,"")</f>
        <v/>
      </c>
      <c r="B32" s="25"/>
      <c r="C32" s="28" t="str">
        <f>IF(AND(A32&lt;&gt;"",B32=""),"← Vul hier het aantal in","")</f>
        <v/>
      </c>
    </row>
    <row r="33" spans="1:3" ht="75" customHeight="1" x14ac:dyDescent="0.25">
      <c r="A33" s="9" t="str">
        <f>IF($A$31&lt;&gt;"",F20,"")</f>
        <v/>
      </c>
      <c r="B33" s="25"/>
      <c r="C33" s="28" t="str">
        <f t="shared" ref="C33:C36" si="2">IF(AND(A33&lt;&gt;"",B33=""),"← Vul hier het aantal in","")</f>
        <v/>
      </c>
    </row>
    <row r="34" spans="1:3" ht="75" customHeight="1" x14ac:dyDescent="0.25">
      <c r="A34" s="9" t="str">
        <f>IF($A$31&lt;&gt;"",F21,"")</f>
        <v/>
      </c>
      <c r="B34" s="25"/>
      <c r="C34" s="28" t="str">
        <f t="shared" si="2"/>
        <v/>
      </c>
    </row>
    <row r="35" spans="1:3" ht="75" customHeight="1" x14ac:dyDescent="0.25">
      <c r="A35" s="9" t="str">
        <f>IF($A$31&lt;&gt;"",F22,"")</f>
        <v/>
      </c>
      <c r="B35" s="25"/>
      <c r="C35" s="28" t="str">
        <f t="shared" si="2"/>
        <v/>
      </c>
    </row>
    <row r="36" spans="1:3" ht="75" customHeight="1" x14ac:dyDescent="0.25">
      <c r="A36" s="9" t="str">
        <f>IF($A$31&lt;&gt;"",F23,"")</f>
        <v/>
      </c>
      <c r="B36" s="25"/>
      <c r="C36" s="28" t="str">
        <f t="shared" si="2"/>
        <v/>
      </c>
    </row>
    <row r="37" spans="1:3" x14ac:dyDescent="0.25">
      <c r="A37" s="6"/>
      <c r="B37" s="24"/>
    </row>
    <row r="38" spans="1:3" ht="35.450000000000003" customHeight="1" x14ac:dyDescent="0.25">
      <c r="A38" s="29" t="str">
        <f>IF(AND(AmountThermostaat&gt;0,SUM(inputAmountThermostaten)=AmountThermostaat),
    "Optioneel: Wilt u een draadloos (RF) ketelcontact? Noodzakelijk wanneer bedrade verbinding tussen ketel en master niet mogelijk is.",
    ""
)</f>
        <v/>
      </c>
      <c r="B38" s="25"/>
      <c r="C38" s="28" t="str">
        <f>IF(AND(A38&lt;&gt;"",B38=""),"← Maak hier uw keuze","")</f>
        <v/>
      </c>
    </row>
    <row r="39" spans="1:3" ht="35.450000000000003" customHeight="1" x14ac:dyDescent="0.25">
      <c r="A39" s="9" t="str">
        <f>IF(inputChoiceKetelcontact&lt;&gt;"",
    "Optioneel: Wilt u draadoze raamsensoren?",
    ""
)</f>
        <v/>
      </c>
      <c r="B39" s="25"/>
      <c r="C39" s="28"/>
    </row>
    <row r="40" spans="1:3" ht="30" x14ac:dyDescent="0.25">
      <c r="A40" s="9" t="str">
        <f>IF(inputChoiceRaamsensoren="Ja",
    "Hoeveel draadloze raamsensoren wilt u?",
    ""
)</f>
        <v/>
      </c>
      <c r="B40" s="25"/>
      <c r="C40" s="27" t="str">
        <f>IF(inputAmountRaamsensoren&gt;48,"Wilt u meer dan 48 raamsensoren?
Neem dan contact met ons op.",IF(inputAmountRaamsensoren&gt;6,"Let op: Maximaal 6 per zone",IF(AND(A40&lt;&gt;"",inputAmountRaamsensoren=""),"← Vul hier het aantal in","")))</f>
        <v/>
      </c>
    </row>
    <row r="41" spans="1:3" x14ac:dyDescent="0.25">
      <c r="B41" s="11"/>
    </row>
    <row r="42" spans="1:3" x14ac:dyDescent="0.25">
      <c r="A42" s="38" t="str">
        <f>IF(OR(inputAmountRaamsensoren&lt;&gt;"",inputChoiceRaamsensoren="Nee"),"Klaar! Klik hier om naar de bestellijst met benodigde producten gaan","")</f>
        <v/>
      </c>
      <c r="B42" s="38"/>
    </row>
    <row r="43" spans="1:3" x14ac:dyDescent="0.25">
      <c r="A43" s="40" t="str">
        <f>IF(A42&lt;&gt;"","Om de vragenlijst overnieuw te starten: Sluit het bestand en download deze opnieuw van de website.","")</f>
        <v/>
      </c>
      <c r="B43" s="41"/>
    </row>
  </sheetData>
  <sheetProtection algorithmName="SHA-512" hashValue="nAu8uWpRyrpoBxVvSRfcB9givjQM3NpyL+h0B087LCcK0T1pBHDPe74fhMqTc39gLxsbfAvg0CcKxS6xBTavyA==" saltValue="95+uodhffZYuPbqqlkLfqg==" spinCount="100000" sheet="1" objects="1" scenarios="1"/>
  <mergeCells count="4">
    <mergeCell ref="A1:C1"/>
    <mergeCell ref="A42:B42"/>
    <mergeCell ref="A2:C3"/>
    <mergeCell ref="A43:B43"/>
  </mergeCells>
  <phoneticPr fontId="2" type="noConversion"/>
  <conditionalFormatting sqref="A5 A7 A9 A11:A15 A17 A19:A23 A25:A27 A29:A36 A38:A40">
    <cfRule type="notContainsBlanks" dxfId="2" priority="5">
      <formula>LEN(TRIM(A5))&gt;0</formula>
    </cfRule>
  </conditionalFormatting>
  <conditionalFormatting sqref="B5 B7 B9 B12:B15 B17 B20:B23 B25 B27 B29 B32:B36 B38:B40">
    <cfRule type="expression" dxfId="0" priority="1">
      <formula>$A5&lt;&gt;""</formula>
    </cfRule>
  </conditionalFormatting>
  <dataValidations count="10">
    <dataValidation type="list" allowBlank="1" showErrorMessage="1" error="U kunt 1 van de mogelijkheden kiezen" promptTitle="Title" prompt="Message" sqref="B5" xr:uid="{26EAC891-E87A-4A44-ACA7-5FC65683061B}">
      <formula1>ListQ1</formula1>
    </dataValidation>
    <dataValidation type="list" allowBlank="1" showInputMessage="1" showErrorMessage="1" error="U kunt Ja of Nee invullen of selecteren" sqref="B27 B25 B38:B39" xr:uid="{DF0D6439-E716-4602-BB55-8746A2DEBE2A}">
      <formula1>"Ja,Nee"</formula1>
    </dataValidation>
    <dataValidation type="whole" allowBlank="1" showInputMessage="1" showErrorMessage="1" error="U kunt tussen de 1 en 8 ruimtes invullen" sqref="B12:B15" xr:uid="{C1D3E174-A7B6-45A6-98A4-1C7A7819B68C}">
      <formula1>1</formula1>
      <formula2>8</formula2>
    </dataValidation>
    <dataValidation type="whole" allowBlank="1" showInputMessage="1" showErrorMessage="1" error="U kunt tussen de 0 en 10 invullen" sqref="B17" xr:uid="{9711B4B9-7D08-4E4F-BEDC-1CF9D2160E04}">
      <formula1>0</formula1>
      <formula2>10</formula2>
    </dataValidation>
    <dataValidation type="list" allowBlank="1" showInputMessage="1" showErrorMessage="1" error="U kunt 1 van de mogelijkheden kiezen" sqref="B29" xr:uid="{EDB4B83D-11F4-4DFA-B5AF-200396084D75}">
      <formula1>ListQ2</formula1>
    </dataValidation>
    <dataValidation type="whole" operator="greaterThanOrEqual" allowBlank="1" showInputMessage="1" showErrorMessage="1" error="U kunt tussen de 1 en 48 invullen" sqref="B7" xr:uid="{6259EAD4-91CB-4454-BF1C-EC30F67A3244}">
      <formula1>0</formula1>
    </dataValidation>
    <dataValidation type="whole" allowBlank="1" showInputMessage="1" showErrorMessage="1" error="U kunt tussen de 1 en 24 groepen invullen (afhankelijk van het type verdeler)" sqref="B20:B23" xr:uid="{9BB37C01-0411-4B11-B84B-934342F7B905}">
      <formula1>1</formula1>
      <formula2>24</formula2>
    </dataValidation>
    <dataValidation type="whole" allowBlank="1" showInputMessage="1" showErrorMessage="1" error="U kunt een getal boven de 0 invullen" sqref="B9" xr:uid="{0D21284F-6D6B-49C3-8376-0D35D5DC4840}">
      <formula1>1</formula1>
      <formula2>9999</formula2>
    </dataValidation>
    <dataValidation type="whole" operator="greaterThanOrEqual" allowBlank="1" showInputMessage="1" showErrorMessage="1" error="U kunt een aantal invullen (0 voor geen raamsensoren)" sqref="B40" xr:uid="{36DEE1ED-7644-4E0B-BCA8-B005A32EAFF6}">
      <formula1>0</formula1>
    </dataValidation>
    <dataValidation type="whole" operator="greaterThanOrEqual" allowBlank="1" showInputMessage="1" showErrorMessage="1" error="U kunt tussen de 1 en 8 ruimtes invullen" sqref="B32:B36" xr:uid="{5A03DCD2-D7F6-4CF7-AE43-191C22F7AA72}">
      <formula1>0</formula1>
    </dataValidation>
  </dataValidations>
  <hyperlinks>
    <hyperlink ref="A42:B42" location="Bestellijst!A1" display="Bestellijst!A1" xr:uid="{ACD6A9EA-0480-4099-A04B-B15CD394A24A}"/>
  </hyperlinks>
  <pageMargins left="0.7" right="0.7" top="0.75" bottom="0.75" header="0.3" footer="0.3"/>
  <pageSetup paperSize="9" scale="47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31F1E1B9-23AD-4E87-9BBE-0066AA49C928}">
            <xm:f>NOT(ISERROR(SEARCH("Klaar",A42)))</xm:f>
            <xm:f>"Klaar"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A42:B42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B0A6-AAC0-498E-B94E-3CA2DE87952D}">
  <sheetPr codeName="Sheet2">
    <pageSetUpPr fitToPage="1"/>
  </sheetPr>
  <dimension ref="A1:G22"/>
  <sheetViews>
    <sheetView topLeftCell="C1" zoomScaleNormal="100" workbookViewId="0">
      <selection activeCell="C1" sqref="C1:E2"/>
    </sheetView>
  </sheetViews>
  <sheetFormatPr defaultColWidth="8.7109375" defaultRowHeight="15" x14ac:dyDescent="0.25"/>
  <cols>
    <col min="1" max="1" width="7.5703125" style="2" hidden="1" customWidth="1"/>
    <col min="2" max="2" width="8.7109375" style="2" hidden="1" customWidth="1"/>
    <col min="3" max="3" width="19.5703125" style="2" customWidth="1"/>
    <col min="4" max="4" width="8.7109375" style="2"/>
    <col min="5" max="5" width="10.5703125" style="2" customWidth="1"/>
    <col min="6" max="6" width="48.140625" style="2" customWidth="1"/>
    <col min="7" max="16384" width="8.7109375" style="2"/>
  </cols>
  <sheetData>
    <row r="1" spans="1:7" ht="14.45" customHeight="1" x14ac:dyDescent="0.25">
      <c r="C1" s="42" t="s">
        <v>79</v>
      </c>
      <c r="D1" s="42"/>
      <c r="E1" s="42"/>
      <c r="F1" s="26"/>
    </row>
    <row r="2" spans="1:7" ht="14.45" customHeight="1" x14ac:dyDescent="0.25">
      <c r="C2" s="42"/>
      <c r="D2" s="42"/>
      <c r="E2" s="42"/>
      <c r="F2" s="26"/>
    </row>
    <row r="4" spans="1:7" x14ac:dyDescent="0.25">
      <c r="C4" s="30" t="s">
        <v>78</v>
      </c>
      <c r="D4" s="36" t="str">
        <f>HYPERLINK("mailto:info@robot-vloerverwarming.nl?Subject=Configurator&amp;body="&amp;EmailBody,"verstuur deze per e-mail")</f>
        <v>verstuur deze per e-mail</v>
      </c>
    </row>
    <row r="8" spans="1:7" x14ac:dyDescent="0.25">
      <c r="C8" s="19"/>
      <c r="D8" s="19"/>
      <c r="E8" s="19"/>
      <c r="F8" s="19"/>
    </row>
    <row r="9" spans="1:7" ht="15.75" x14ac:dyDescent="0.25">
      <c r="B9" s="16"/>
      <c r="C9" s="21" t="s">
        <v>50</v>
      </c>
      <c r="D9" s="21" t="s">
        <v>50</v>
      </c>
      <c r="E9" s="21" t="s">
        <v>51</v>
      </c>
      <c r="F9" s="21" t="s">
        <v>21</v>
      </c>
      <c r="G9" s="18"/>
    </row>
    <row r="10" spans="1:7" ht="75" customHeight="1" x14ac:dyDescent="0.25">
      <c r="A10" s="15" t="e" cm="1" vm="1">
        <f t="array" ref="A10">_xlfn._xlws.FILTER(Config_Shadow!A2:A12,(Config_Shadow!B2:B12&gt;0)*(Config_Shadow!B2:B12&lt;&gt;""))</f>
        <v>#VALUE!</v>
      </c>
      <c r="B10" s="17" t="str">
        <f t="shared" ref="B10:B20" si="0">IFERROR(VLOOKUP(A10,Artikelen,4,FALSE),"ImageBlank")</f>
        <v>ImageBlank</v>
      </c>
      <c r="C10"/>
      <c r="D10" s="22" t="str">
        <f>IFERROR(VLOOKUP(A10,Config_Shadow!A:B,2,FALSE),"")</f>
        <v/>
      </c>
      <c r="E10" s="22" t="str">
        <f t="shared" ref="E10:E16" si="1">IFERROR(VLOOKUP(A10,Artikelen,2,FALSE),"")</f>
        <v/>
      </c>
      <c r="F10" s="22" t="str">
        <f t="shared" ref="F10:F16" si="2">IFERROR(VLOOKUP(A10,Artikelen,3,FALSE),"")</f>
        <v/>
      </c>
      <c r="G10" s="18"/>
    </row>
    <row r="11" spans="1:7" ht="75" customHeight="1" x14ac:dyDescent="0.25">
      <c r="A11" s="15"/>
      <c r="B11" s="17" t="str">
        <f t="shared" si="0"/>
        <v>ImageBlank</v>
      </c>
      <c r="C11"/>
      <c r="D11" s="22" t="str">
        <f>IFERROR(VLOOKUP(A11,Config_Shadow!A:B,2,FALSE),"")</f>
        <v/>
      </c>
      <c r="E11" s="22" t="str">
        <f t="shared" si="1"/>
        <v/>
      </c>
      <c r="F11" s="22" t="str">
        <f t="shared" si="2"/>
        <v/>
      </c>
      <c r="G11" s="18"/>
    </row>
    <row r="12" spans="1:7" ht="75" customHeight="1" x14ac:dyDescent="0.25">
      <c r="A12" s="15"/>
      <c r="B12" s="17" t="str">
        <f t="shared" si="0"/>
        <v>ImageBlank</v>
      </c>
      <c r="C12"/>
      <c r="D12" s="22" t="str">
        <f>IFERROR(VLOOKUP(A12,Config_Shadow!A:B,2,FALSE),"")</f>
        <v/>
      </c>
      <c r="E12" s="22" t="str">
        <f t="shared" si="1"/>
        <v/>
      </c>
      <c r="F12" s="22" t="str">
        <f t="shared" si="2"/>
        <v/>
      </c>
      <c r="G12" s="18"/>
    </row>
    <row r="13" spans="1:7" ht="75" customHeight="1" x14ac:dyDescent="0.25">
      <c r="A13" s="15"/>
      <c r="B13" s="17" t="str">
        <f t="shared" si="0"/>
        <v>ImageBlank</v>
      </c>
      <c r="C13"/>
      <c r="D13" s="22" t="str">
        <f>IFERROR(VLOOKUP(A13,Config_Shadow!A:B,2,FALSE),"")</f>
        <v/>
      </c>
      <c r="E13" s="22" t="str">
        <f t="shared" si="1"/>
        <v/>
      </c>
      <c r="F13" s="22" t="str">
        <f t="shared" si="2"/>
        <v/>
      </c>
      <c r="G13" s="18"/>
    </row>
    <row r="14" spans="1:7" ht="75" customHeight="1" x14ac:dyDescent="0.25">
      <c r="A14" s="15"/>
      <c r="B14" s="17" t="str">
        <f t="shared" si="0"/>
        <v>ImageBlank</v>
      </c>
      <c r="C14"/>
      <c r="D14" s="22" t="str">
        <f>IFERROR(VLOOKUP(A14,Config_Shadow!A:B,2,FALSE),"")</f>
        <v/>
      </c>
      <c r="E14" s="22" t="str">
        <f t="shared" si="1"/>
        <v/>
      </c>
      <c r="F14" s="22" t="str">
        <f t="shared" si="2"/>
        <v/>
      </c>
      <c r="G14" s="18"/>
    </row>
    <row r="15" spans="1:7" ht="75" customHeight="1" x14ac:dyDescent="0.25">
      <c r="A15" s="15"/>
      <c r="B15" s="17" t="str">
        <f t="shared" si="0"/>
        <v>ImageBlank</v>
      </c>
      <c r="C15"/>
      <c r="D15" s="22" t="str">
        <f>IFERROR(VLOOKUP(A15,Config_Shadow!A:B,2,FALSE),"")</f>
        <v/>
      </c>
      <c r="E15" s="22" t="str">
        <f t="shared" si="1"/>
        <v/>
      </c>
      <c r="F15" s="22" t="str">
        <f t="shared" si="2"/>
        <v/>
      </c>
      <c r="G15" s="18"/>
    </row>
    <row r="16" spans="1:7" ht="75" customHeight="1" x14ac:dyDescent="0.25">
      <c r="A16" s="15"/>
      <c r="B16" s="17" t="str">
        <f t="shared" si="0"/>
        <v>ImageBlank</v>
      </c>
      <c r="C16"/>
      <c r="D16" s="22" t="str">
        <f>IFERROR(VLOOKUP(A16,Config_Shadow!A:B,2,FALSE),"")</f>
        <v/>
      </c>
      <c r="E16" s="22" t="str">
        <f t="shared" si="1"/>
        <v/>
      </c>
      <c r="F16" s="22" t="str">
        <f t="shared" si="2"/>
        <v/>
      </c>
      <c r="G16" s="18"/>
    </row>
    <row r="17" spans="1:7" ht="75" customHeight="1" x14ac:dyDescent="0.25">
      <c r="A17" s="15"/>
      <c r="B17" s="17" t="str">
        <f t="shared" si="0"/>
        <v>ImageBlank</v>
      </c>
      <c r="C17"/>
      <c r="D17" s="22" t="str">
        <f>IFERROR(VLOOKUP(A17,Config_Shadow!A:B,2,FALSE),"")</f>
        <v/>
      </c>
      <c r="E17" s="22" t="str">
        <f t="shared" ref="E17" si="3">IFERROR(VLOOKUP(A17,Artikelen,2,FALSE),"")</f>
        <v/>
      </c>
      <c r="F17" s="22" t="str">
        <f t="shared" ref="F17" si="4">IFERROR(VLOOKUP(A17,Artikelen,3,FALSE),"")</f>
        <v/>
      </c>
      <c r="G17" s="18"/>
    </row>
    <row r="18" spans="1:7" ht="75" customHeight="1" x14ac:dyDescent="0.25">
      <c r="A18" s="15"/>
      <c r="B18" s="17" t="str">
        <f t="shared" si="0"/>
        <v>ImageBlank</v>
      </c>
      <c r="C18"/>
      <c r="D18" s="22" t="str">
        <f>IFERROR(VLOOKUP(A18,Config_Shadow!A:B,2,FALSE),"")</f>
        <v/>
      </c>
      <c r="E18" s="22" t="str">
        <f t="shared" ref="E18" si="5">IFERROR(VLOOKUP(A18,Artikelen,2,FALSE),"")</f>
        <v/>
      </c>
      <c r="F18" s="22" t="str">
        <f t="shared" ref="F18" si="6">IFERROR(VLOOKUP(A18,Artikelen,3,FALSE),"")</f>
        <v/>
      </c>
      <c r="G18" s="18"/>
    </row>
    <row r="19" spans="1:7" ht="75" customHeight="1" x14ac:dyDescent="0.25">
      <c r="A19" s="15"/>
      <c r="B19" s="17" t="str">
        <f t="shared" si="0"/>
        <v>ImageBlank</v>
      </c>
      <c r="C19"/>
      <c r="D19" s="22" t="str">
        <f>IFERROR(VLOOKUP(A19,Config_Shadow!A:B,2,FALSE),"")</f>
        <v/>
      </c>
      <c r="E19" s="22" t="str">
        <f t="shared" ref="E19" si="7">IFERROR(VLOOKUP(A19,Artikelen,2,FALSE),"")</f>
        <v/>
      </c>
      <c r="F19" s="22" t="str">
        <f t="shared" ref="F19" si="8">IFERROR(VLOOKUP(A19,Artikelen,3,FALSE),"")</f>
        <v/>
      </c>
      <c r="G19" s="18"/>
    </row>
    <row r="20" spans="1:7" ht="75" customHeight="1" x14ac:dyDescent="0.25">
      <c r="A20" s="15"/>
      <c r="B20" s="17" t="str">
        <f t="shared" si="0"/>
        <v>ImageBlank</v>
      </c>
      <c r="C20"/>
      <c r="D20" s="22" t="str">
        <f>IFERROR(VLOOKUP(A20,Config_Shadow!A:B,2,FALSE),"")</f>
        <v/>
      </c>
      <c r="E20" s="22" t="str">
        <f t="shared" ref="E20" si="9">IFERROR(VLOOKUP(A20,Artikelen,2,FALSE),"")</f>
        <v/>
      </c>
      <c r="F20" s="22" t="str">
        <f t="shared" ref="F20" si="10">IFERROR(VLOOKUP(A20,Artikelen,3,FALSE),"")</f>
        <v/>
      </c>
      <c r="G20" s="18"/>
    </row>
    <row r="21" spans="1:7" x14ac:dyDescent="0.25">
      <c r="C21" s="20"/>
      <c r="D21" s="20"/>
      <c r="E21" s="20"/>
      <c r="F21" s="20"/>
    </row>
    <row r="22" spans="1:7" x14ac:dyDescent="0.25">
      <c r="C22" s="2" t="s">
        <v>59</v>
      </c>
    </row>
  </sheetData>
  <sheetProtection algorithmName="SHA-512" hashValue="WzwOpdqBGthjoFFiE7k7auKbclOXPQwBuo75uXk0/FAd8AtLddPy5Ep2qowmhzssFumRFFRfjfWEj2raRzFuyg==" saltValue="dlRSCuWW2y7cUztzYQSlWw==" spinCount="100000" sheet="1" objects="1" scenarios="1"/>
  <mergeCells count="1">
    <mergeCell ref="C1:E2"/>
  </mergeCells>
  <conditionalFormatting sqref="A8:B9">
    <cfRule type="cellIs" priority="1" operator="lessThan">
      <formula>0</formula>
    </cfRule>
  </conditionalFormatting>
  <pageMargins left="0.7" right="0.7" top="0.75" bottom="0.75" header="0.3" footer="0.3"/>
  <pageSetup paperSize="9" scale="7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023F-26BA-44E5-980D-63C486FB9E2B}">
  <sheetPr codeName="Sheet3"/>
  <dimension ref="B2:C14"/>
  <sheetViews>
    <sheetView workbookViewId="0"/>
  </sheetViews>
  <sheetFormatPr defaultRowHeight="15" x14ac:dyDescent="0.25"/>
  <cols>
    <col min="2" max="3" width="74.140625" customWidth="1"/>
  </cols>
  <sheetData>
    <row r="2" spans="2:3" ht="244.5" customHeight="1" x14ac:dyDescent="0.25">
      <c r="B2" s="23" t="str">
        <f>"Mijn selectie: %0d%0a%0d%0a
"&amp;IF(B4&lt;&gt;"",B4,"")&amp;"%0d%0a
"&amp;IF(B5&lt;&gt;"",B5,"")&amp;"%0d%0a
"&amp;IF(B6&lt;&gt;"",B6,"")&amp;"%0d%0a
"&amp;IF(B7&lt;&gt;"",B7,"")&amp;"%0d%0a
"&amp;IF(B8&lt;&gt;"",B8,"")&amp;"%0d%0a
"&amp;IF(B9&lt;&gt;"",B9,"")&amp;"%0d%0a
"&amp;IF(B10&lt;&gt;"",B10,"")&amp;"%0d%0a
"&amp;IF(B11&lt;&gt;"",B11,"")&amp;"%0d%0a
"&amp;IF(B12&lt;&gt;"",B12,"")&amp;"%0d%0a
"&amp;IF(B13&lt;&gt;"",B13,"")&amp;"%0d%0a
"&amp;IF(B14&lt;&gt;"",B14,"")</f>
        <v xml:space="preserve">Mijn selectie: %0d%0a%0d%0a
%0d%0a
%0d%0a
%0d%0a
%0d%0a
%0d%0a
%0d%0a
%0d%0a
%0d%0a
%0d%0a
%0d%0a
</v>
      </c>
      <c r="C2" s="23"/>
    </row>
    <row r="4" spans="2:3" x14ac:dyDescent="0.25">
      <c r="B4" t="str">
        <f>IF(AND(Bestellijst!D10&gt;0,Bestellijst!D10&lt;&gt;""),Bestellijst!D10&amp;"x "&amp;Bestellijst!E10,"")</f>
        <v/>
      </c>
    </row>
    <row r="5" spans="2:3" x14ac:dyDescent="0.25">
      <c r="B5" t="str">
        <f>IF(AND(Bestellijst!D11&gt;0,Bestellijst!D11&lt;&gt;""),Bestellijst!D11&amp;"x "&amp;Bestellijst!E11,"")</f>
        <v/>
      </c>
    </row>
    <row r="6" spans="2:3" x14ac:dyDescent="0.25">
      <c r="B6" t="str">
        <f>IF(AND(Bestellijst!D12&gt;0,Bestellijst!D12&lt;&gt;""),Bestellijst!D12&amp;"x "&amp;Bestellijst!E12,"")</f>
        <v/>
      </c>
    </row>
    <row r="7" spans="2:3" x14ac:dyDescent="0.25">
      <c r="B7" t="str">
        <f>IF(AND(Bestellijst!D13&gt;0,Bestellijst!D13&lt;&gt;""),Bestellijst!D13&amp;"x "&amp;Bestellijst!E13,"")</f>
        <v/>
      </c>
    </row>
    <row r="8" spans="2:3" x14ac:dyDescent="0.25">
      <c r="B8" t="str">
        <f>IF(AND(Bestellijst!D14&gt;0,Bestellijst!D14&lt;&gt;""),Bestellijst!D14&amp;"x "&amp;Bestellijst!E14,"")</f>
        <v/>
      </c>
    </row>
    <row r="9" spans="2:3" x14ac:dyDescent="0.25">
      <c r="B9" t="str">
        <f>IF(AND(Bestellijst!D15&gt;0,Bestellijst!D15&lt;&gt;""),Bestellijst!D15&amp;"x "&amp;Bestellijst!E15,"")</f>
        <v/>
      </c>
    </row>
    <row r="10" spans="2:3" x14ac:dyDescent="0.25">
      <c r="B10" t="str">
        <f>IF(AND(Bestellijst!D16&gt;0,Bestellijst!D16&lt;&gt;""),Bestellijst!D16&amp;"x "&amp;Bestellijst!E16,"")</f>
        <v/>
      </c>
    </row>
    <row r="11" spans="2:3" x14ac:dyDescent="0.25">
      <c r="B11" t="str">
        <f>IF(AND(Bestellijst!D17&gt;0,Bestellijst!D17&lt;&gt;""),Bestellijst!D17&amp;"x "&amp;Bestellijst!E17,"")</f>
        <v/>
      </c>
    </row>
    <row r="12" spans="2:3" x14ac:dyDescent="0.25">
      <c r="B12" t="str">
        <f>IF(AND(Bestellijst!D18&gt;0,Bestellijst!D18&lt;&gt;""),Bestellijst!D18&amp;"x "&amp;Bestellijst!E18,"")</f>
        <v/>
      </c>
    </row>
    <row r="13" spans="2:3" x14ac:dyDescent="0.25">
      <c r="B13" t="str">
        <f>IF(AND(Bestellijst!D19&gt;0,Bestellijst!D19&lt;&gt;""),Bestellijst!D19&amp;"x "&amp;Bestellijst!E19,"")</f>
        <v/>
      </c>
    </row>
    <row r="14" spans="2:3" x14ac:dyDescent="0.25">
      <c r="B14" t="str">
        <f>IF(AND(Bestellijst!D20&gt;0,Bestellijst!D20&lt;&gt;""),Bestellijst!D20&amp;"x "&amp;Bestellijst!E20,"")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1506-7CAC-4EE6-BF97-003B6F5191CF}">
  <sheetPr codeName="Sheet4"/>
  <dimension ref="A1:B12"/>
  <sheetViews>
    <sheetView workbookViewId="0"/>
  </sheetViews>
  <sheetFormatPr defaultRowHeight="15" x14ac:dyDescent="0.25"/>
  <cols>
    <col min="1" max="1" width="20.5703125" customWidth="1"/>
    <col min="2" max="2" width="12.28515625" customWidth="1"/>
  </cols>
  <sheetData>
    <row r="1" spans="1:2" x14ac:dyDescent="0.25">
      <c r="A1" t="s">
        <v>18</v>
      </c>
      <c r="B1" t="s">
        <v>37</v>
      </c>
    </row>
    <row r="2" spans="1:2" x14ac:dyDescent="0.25">
      <c r="A2" t="s">
        <v>32</v>
      </c>
      <c r="B2">
        <f>AmountMaster</f>
        <v>0</v>
      </c>
    </row>
    <row r="3" spans="1:2" x14ac:dyDescent="0.25">
      <c r="A3" t="s">
        <v>33</v>
      </c>
      <c r="B3" t="str">
        <f>AmountBedieningspaneel</f>
        <v/>
      </c>
    </row>
    <row r="4" spans="1:2" x14ac:dyDescent="0.25">
      <c r="A4" t="s">
        <v>14</v>
      </c>
      <c r="B4">
        <f>IFERROR(VLOOKUP(VLOOKUP(A4,Thermostaten,3,FALSE),Configurator!$A$32:$B$36,2,FALSE),0)</f>
        <v>0</v>
      </c>
    </row>
    <row r="5" spans="1:2" x14ac:dyDescent="0.25">
      <c r="A5" t="s">
        <v>15</v>
      </c>
      <c r="B5">
        <f>IFERROR(VLOOKUP(VLOOKUP(A5,Thermostaten,3,FALSE),Configurator!$A$32:$B$36,2,FALSE),0)</f>
        <v>0</v>
      </c>
    </row>
    <row r="6" spans="1:2" x14ac:dyDescent="0.25">
      <c r="A6" t="s">
        <v>13</v>
      </c>
      <c r="B6">
        <f>IFERROR(VLOOKUP(VLOOKUP(A6,Thermostaten,3,FALSE),Configurator!$A$32:$B$36,2,FALSE),0)</f>
        <v>0</v>
      </c>
    </row>
    <row r="7" spans="1:2" x14ac:dyDescent="0.25">
      <c r="A7" t="s">
        <v>16</v>
      </c>
      <c r="B7">
        <f>IFERROR(VLOOKUP(VLOOKUP(A7,Thermostaten,3,FALSE),Configurator!$A$32:$B$36,2,FALSE),0)</f>
        <v>0</v>
      </c>
    </row>
    <row r="8" spans="1:2" x14ac:dyDescent="0.25">
      <c r="A8" t="s">
        <v>17</v>
      </c>
      <c r="B8">
        <f>IFERROR(VLOOKUP(VLOOKUP(A8,Thermostaten,3,FALSE),Configurator!$A$32:$B$36,2,FALSE),0)</f>
        <v>0</v>
      </c>
    </row>
    <row r="9" spans="1:2" x14ac:dyDescent="0.25">
      <c r="A9" t="s">
        <v>35</v>
      </c>
      <c r="B9">
        <f>AmountRadiatorknop</f>
        <v>0</v>
      </c>
    </row>
    <row r="10" spans="1:2" x14ac:dyDescent="0.25">
      <c r="A10" t="s">
        <v>36</v>
      </c>
      <c r="B10">
        <f>AmountThermomotor</f>
        <v>0</v>
      </c>
    </row>
    <row r="11" spans="1:2" x14ac:dyDescent="0.25">
      <c r="A11" t="s">
        <v>34</v>
      </c>
      <c r="B11">
        <f>AmountKetelcontact</f>
        <v>0</v>
      </c>
    </row>
    <row r="12" spans="1:2" x14ac:dyDescent="0.25">
      <c r="A12" t="s">
        <v>54</v>
      </c>
      <c r="B12">
        <f>AmountRaamSensor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C732-9EDE-40D2-8055-1AECE0645FAD}">
  <sheetPr codeName="Sheet5"/>
  <dimension ref="A1:G13"/>
  <sheetViews>
    <sheetView workbookViewId="0">
      <selection activeCell="F4" sqref="F4"/>
    </sheetView>
  </sheetViews>
  <sheetFormatPr defaultRowHeight="15" x14ac:dyDescent="0.25"/>
  <cols>
    <col min="1" max="1" width="27.5703125" bestFit="1" customWidth="1"/>
    <col min="2" max="2" width="20.42578125" bestFit="1" customWidth="1"/>
    <col min="4" max="4" width="17.42578125" bestFit="1" customWidth="1"/>
    <col min="6" max="6" width="45.5703125" bestFit="1" customWidth="1"/>
    <col min="7" max="7" width="9.7109375" bestFit="1" customWidth="1"/>
  </cols>
  <sheetData>
    <row r="1" spans="1:7" x14ac:dyDescent="0.25">
      <c r="A1" t="s">
        <v>0</v>
      </c>
      <c r="B1" t="s">
        <v>9</v>
      </c>
      <c r="D1" t="s">
        <v>19</v>
      </c>
    </row>
    <row r="2" spans="1:7" x14ac:dyDescent="0.25">
      <c r="A2" t="s">
        <v>1</v>
      </c>
      <c r="B2" t="s">
        <v>10</v>
      </c>
      <c r="D2" t="s">
        <v>18</v>
      </c>
      <c r="E2" t="s">
        <v>20</v>
      </c>
      <c r="F2" t="s">
        <v>21</v>
      </c>
      <c r="G2" t="s">
        <v>38</v>
      </c>
    </row>
    <row r="3" spans="1:7" x14ac:dyDescent="0.25">
      <c r="A3" t="s">
        <v>2</v>
      </c>
      <c r="B3" t="s">
        <v>11</v>
      </c>
      <c r="D3" t="s">
        <v>14</v>
      </c>
      <c r="E3">
        <v>649303</v>
      </c>
      <c r="F3" t="s">
        <v>22</v>
      </c>
      <c r="G3" t="s">
        <v>39</v>
      </c>
    </row>
    <row r="4" spans="1:7" x14ac:dyDescent="0.25">
      <c r="A4" t="s">
        <v>3</v>
      </c>
      <c r="B4" t="s">
        <v>60</v>
      </c>
      <c r="D4" t="s">
        <v>15</v>
      </c>
      <c r="E4">
        <v>649313</v>
      </c>
      <c r="F4" t="s">
        <v>23</v>
      </c>
      <c r="G4" t="s">
        <v>40</v>
      </c>
    </row>
    <row r="5" spans="1:7" x14ac:dyDescent="0.25">
      <c r="D5" t="s">
        <v>13</v>
      </c>
      <c r="E5">
        <v>649305</v>
      </c>
      <c r="F5" t="s">
        <v>24</v>
      </c>
      <c r="G5" t="s">
        <v>41</v>
      </c>
    </row>
    <row r="6" spans="1:7" x14ac:dyDescent="0.25">
      <c r="D6" t="s">
        <v>16</v>
      </c>
      <c r="E6">
        <v>649308</v>
      </c>
      <c r="F6" t="s">
        <v>25</v>
      </c>
      <c r="G6" t="s">
        <v>42</v>
      </c>
    </row>
    <row r="7" spans="1:7" x14ac:dyDescent="0.25">
      <c r="D7" t="s">
        <v>17</v>
      </c>
      <c r="E7">
        <v>649318</v>
      </c>
      <c r="F7" t="s">
        <v>26</v>
      </c>
      <c r="G7" t="s">
        <v>43</v>
      </c>
    </row>
    <row r="8" spans="1:7" x14ac:dyDescent="0.25">
      <c r="D8" t="s">
        <v>32</v>
      </c>
      <c r="E8">
        <v>649320</v>
      </c>
      <c r="F8" t="s">
        <v>27</v>
      </c>
      <c r="G8" t="s">
        <v>44</v>
      </c>
    </row>
    <row r="9" spans="1:7" x14ac:dyDescent="0.25">
      <c r="D9" t="s">
        <v>33</v>
      </c>
      <c r="E9">
        <v>649335</v>
      </c>
      <c r="F9" t="s">
        <v>28</v>
      </c>
      <c r="G9" t="s">
        <v>46</v>
      </c>
    </row>
    <row r="10" spans="1:7" x14ac:dyDescent="0.25">
      <c r="D10" t="s">
        <v>35</v>
      </c>
      <c r="E10">
        <v>649330</v>
      </c>
      <c r="F10" t="s">
        <v>29</v>
      </c>
      <c r="G10" t="s">
        <v>47</v>
      </c>
    </row>
    <row r="11" spans="1:7" x14ac:dyDescent="0.25">
      <c r="D11" t="s">
        <v>36</v>
      </c>
      <c r="E11">
        <v>601620</v>
      </c>
      <c r="F11" t="s">
        <v>30</v>
      </c>
      <c r="G11" t="s">
        <v>48</v>
      </c>
    </row>
    <row r="12" spans="1:7" x14ac:dyDescent="0.25">
      <c r="D12" t="s">
        <v>34</v>
      </c>
      <c r="E12">
        <v>649345</v>
      </c>
      <c r="F12" t="s">
        <v>31</v>
      </c>
      <c r="G12" t="s">
        <v>45</v>
      </c>
    </row>
    <row r="13" spans="1:7" x14ac:dyDescent="0.25">
      <c r="D13" t="s">
        <v>54</v>
      </c>
      <c r="E13">
        <v>649340</v>
      </c>
      <c r="F13" t="s">
        <v>56</v>
      </c>
      <c r="G13" t="s">
        <v>53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D55D-A130-435A-BBFB-F74E15E84EBE}">
  <sheetPr codeName="Sheet6"/>
  <dimension ref="A1:C12"/>
  <sheetViews>
    <sheetView zoomScaleNormal="100" workbookViewId="0"/>
  </sheetViews>
  <sheetFormatPr defaultColWidth="22.5703125" defaultRowHeight="75" customHeight="1" x14ac:dyDescent="0.25"/>
  <cols>
    <col min="2" max="2" width="19.5703125" customWidth="1"/>
    <col min="3" max="3" width="46.140625" bestFit="1" customWidth="1"/>
  </cols>
  <sheetData>
    <row r="1" spans="1:3" ht="75" customHeight="1" x14ac:dyDescent="0.25">
      <c r="A1" s="33" t="s">
        <v>39</v>
      </c>
      <c r="B1" s="34"/>
      <c r="C1" s="35" t="s">
        <v>22</v>
      </c>
    </row>
    <row r="2" spans="1:3" ht="75" customHeight="1" x14ac:dyDescent="0.25">
      <c r="A2" s="33" t="s">
        <v>40</v>
      </c>
      <c r="B2" s="34"/>
      <c r="C2" s="35" t="s">
        <v>23</v>
      </c>
    </row>
    <row r="3" spans="1:3" ht="75" customHeight="1" x14ac:dyDescent="0.25">
      <c r="A3" s="33" t="s">
        <v>41</v>
      </c>
      <c r="B3" s="34"/>
      <c r="C3" s="35" t="s">
        <v>24</v>
      </c>
    </row>
    <row r="4" spans="1:3" ht="75" customHeight="1" x14ac:dyDescent="0.25">
      <c r="A4" s="33" t="s">
        <v>42</v>
      </c>
      <c r="B4" s="34"/>
      <c r="C4" s="35" t="s">
        <v>25</v>
      </c>
    </row>
    <row r="5" spans="1:3" ht="75" customHeight="1" x14ac:dyDescent="0.25">
      <c r="A5" s="33" t="s">
        <v>43</v>
      </c>
      <c r="B5" s="34"/>
      <c r="C5" s="35" t="s">
        <v>26</v>
      </c>
    </row>
    <row r="6" spans="1:3" ht="75" customHeight="1" x14ac:dyDescent="0.25">
      <c r="A6" s="33" t="s">
        <v>44</v>
      </c>
      <c r="B6" s="34"/>
      <c r="C6" s="35" t="s">
        <v>27</v>
      </c>
    </row>
    <row r="7" spans="1:3" ht="75" customHeight="1" x14ac:dyDescent="0.25">
      <c r="A7" s="33" t="s">
        <v>46</v>
      </c>
      <c r="B7" s="34"/>
      <c r="C7" s="35" t="s">
        <v>28</v>
      </c>
    </row>
    <row r="8" spans="1:3" ht="75" customHeight="1" x14ac:dyDescent="0.25">
      <c r="A8" s="33" t="s">
        <v>47</v>
      </c>
      <c r="B8" s="34"/>
      <c r="C8" s="35" t="s">
        <v>29</v>
      </c>
    </row>
    <row r="9" spans="1:3" ht="75" customHeight="1" x14ac:dyDescent="0.25">
      <c r="A9" s="33" t="s">
        <v>48</v>
      </c>
      <c r="B9" s="34"/>
      <c r="C9" s="35" t="s">
        <v>30</v>
      </c>
    </row>
    <row r="10" spans="1:3" ht="75" customHeight="1" x14ac:dyDescent="0.25">
      <c r="A10" s="33" t="s">
        <v>45</v>
      </c>
      <c r="B10" s="34"/>
      <c r="C10" s="35" t="s">
        <v>31</v>
      </c>
    </row>
    <row r="11" spans="1:3" ht="75" customHeight="1" x14ac:dyDescent="0.25">
      <c r="A11" s="33" t="s">
        <v>53</v>
      </c>
      <c r="B11" s="34"/>
      <c r="C11" s="35" t="s">
        <v>56</v>
      </c>
    </row>
    <row r="12" spans="1:3" ht="75" customHeight="1" x14ac:dyDescent="0.25">
      <c r="A12" s="33" t="s">
        <v>49</v>
      </c>
      <c r="B12" s="34"/>
      <c r="C12" s="2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42</vt:i4>
      </vt:variant>
    </vt:vector>
  </HeadingPairs>
  <TitlesOfParts>
    <vt:vector size="48" baseType="lpstr">
      <vt:lpstr>Configurator</vt:lpstr>
      <vt:lpstr>Bestellijst</vt:lpstr>
      <vt:lpstr>EmailHelper</vt:lpstr>
      <vt:lpstr>Config_Shadow</vt:lpstr>
      <vt:lpstr>BD</vt:lpstr>
      <vt:lpstr>BD_Images</vt:lpstr>
      <vt:lpstr>AmountBedieningspaneel</vt:lpstr>
      <vt:lpstr>AmountKetelcontact</vt:lpstr>
      <vt:lpstr>AmountMaster</vt:lpstr>
      <vt:lpstr>AmountRaamSensor</vt:lpstr>
      <vt:lpstr>AmountRadiatorknop</vt:lpstr>
      <vt:lpstr>AmountThermomotor</vt:lpstr>
      <vt:lpstr>AmountThermostaat</vt:lpstr>
      <vt:lpstr>Artikelen</vt:lpstr>
      <vt:lpstr>EmailBody</vt:lpstr>
      <vt:lpstr>hlpShowWired</vt:lpstr>
      <vt:lpstr>hlpShowWireless</vt:lpstr>
      <vt:lpstr>Image1</vt:lpstr>
      <vt:lpstr>Image10</vt:lpstr>
      <vt:lpstr>Image11</vt:lpstr>
      <vt:lpstr>Image2</vt:lpstr>
      <vt:lpstr>Image3</vt:lpstr>
      <vt:lpstr>Image4</vt:lpstr>
      <vt:lpstr>Image5</vt:lpstr>
      <vt:lpstr>Image6</vt:lpstr>
      <vt:lpstr>Image7</vt:lpstr>
      <vt:lpstr>Image8</vt:lpstr>
      <vt:lpstr>Image9</vt:lpstr>
      <vt:lpstr>ImageBlank</vt:lpstr>
      <vt:lpstr>inputAmountRaamsensoren</vt:lpstr>
      <vt:lpstr>inputAmountRadiatoren</vt:lpstr>
      <vt:lpstr>inputAmountRuimtesRadiatoren</vt:lpstr>
      <vt:lpstr>inputAmountThermostaten</vt:lpstr>
      <vt:lpstr>inputAmountVerdelerGroepen</vt:lpstr>
      <vt:lpstr>inputAmountVerdelerRuimtes</vt:lpstr>
      <vt:lpstr>inputAmountVerdelers</vt:lpstr>
      <vt:lpstr>inputChoiceBedieningspaneel</vt:lpstr>
      <vt:lpstr>inputChoiceKetelcontact</vt:lpstr>
      <vt:lpstr>inputChoiceMasterKabel</vt:lpstr>
      <vt:lpstr>inputChoiceRaamsensoren</vt:lpstr>
      <vt:lpstr>inputChoiceRegelen</vt:lpstr>
      <vt:lpstr>inputChoiceThermosConnection</vt:lpstr>
      <vt:lpstr>ListQ1</vt:lpstr>
      <vt:lpstr>ListQ2</vt:lpstr>
      <vt:lpstr>Bestellijst!Print_Area</vt:lpstr>
      <vt:lpstr>Configurator!Print_Area</vt:lpstr>
      <vt:lpstr>stepLabelThemostaten</vt:lpstr>
      <vt:lpstr>Thermostaten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van den Bogaard</dc:creator>
  <cp:lastModifiedBy>Richard van den Bogaard</cp:lastModifiedBy>
  <cp:lastPrinted>2023-07-18T14:24:10Z</cp:lastPrinted>
  <dcterms:created xsi:type="dcterms:W3CDTF">2023-02-20T18:49:45Z</dcterms:created>
  <dcterms:modified xsi:type="dcterms:W3CDTF">2023-08-04T08:38:07Z</dcterms:modified>
</cp:coreProperties>
</file>